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2"/>
  </bookViews>
  <sheets>
    <sheet name="Shot" sheetId="1" r:id="rId1"/>
    <sheet name="Discus" sheetId="2" r:id="rId2"/>
    <sheet name="HJ" sheetId="3" r:id="rId3"/>
    <sheet name="LJ" sheetId="4" r:id="rId4"/>
    <sheet name="RRace" sheetId="5" r:id="rId5"/>
  </sheets>
  <definedNames>
    <definedName name="_xlnm.Print_Area" localSheetId="1">'Discus'!$A$1:$J$17</definedName>
  </definedNames>
  <calcPr fullCalcOnLoad="1"/>
</workbook>
</file>

<file path=xl/sharedStrings.xml><?xml version="1.0" encoding="utf-8"?>
<sst xmlns="http://schemas.openxmlformats.org/spreadsheetml/2006/main" count="542" uniqueCount="157">
  <si>
    <t>Sex</t>
  </si>
  <si>
    <t>Age</t>
  </si>
  <si>
    <t>1st Attempt</t>
  </si>
  <si>
    <t>2nd Attempt</t>
  </si>
  <si>
    <t>3rd Attempt</t>
  </si>
  <si>
    <t>4th Attempt</t>
  </si>
  <si>
    <t>Best Mark</t>
  </si>
  <si>
    <t>Points</t>
  </si>
  <si>
    <t>Disc Point</t>
  </si>
  <si>
    <t>Ath Total</t>
  </si>
  <si>
    <t>Team Total</t>
  </si>
  <si>
    <t>In</t>
  </si>
  <si>
    <t>M 25</t>
  </si>
  <si>
    <t>M 30</t>
  </si>
  <si>
    <t>M 35</t>
  </si>
  <si>
    <t>M 40</t>
  </si>
  <si>
    <t>M 45</t>
  </si>
  <si>
    <t>M 50</t>
  </si>
  <si>
    <t>M 55</t>
  </si>
  <si>
    <t>M 60</t>
  </si>
  <si>
    <t>M 65</t>
  </si>
  <si>
    <t>F 25</t>
  </si>
  <si>
    <t>F 30</t>
  </si>
  <si>
    <t>F 35</t>
  </si>
  <si>
    <t>F 40</t>
  </si>
  <si>
    <t>F 45</t>
  </si>
  <si>
    <t>F 50</t>
  </si>
  <si>
    <t>F 55</t>
  </si>
  <si>
    <t>F 60</t>
  </si>
  <si>
    <t>F 65</t>
  </si>
  <si>
    <t>Fill</t>
  </si>
  <si>
    <t>LJ Point</t>
  </si>
  <si>
    <t>M</t>
  </si>
  <si>
    <t>SCVAL</t>
  </si>
  <si>
    <t>Steve Headley</t>
  </si>
  <si>
    <t>F 70</t>
  </si>
  <si>
    <t>F 75</t>
  </si>
  <si>
    <t>F 80</t>
  </si>
  <si>
    <t>M 70</t>
  </si>
  <si>
    <t>M 75</t>
  </si>
  <si>
    <t>M 80</t>
  </si>
  <si>
    <t>F</t>
  </si>
  <si>
    <t>Roland Baza</t>
  </si>
  <si>
    <t>Rand Crippen</t>
  </si>
  <si>
    <t>Darrin Garcia</t>
  </si>
  <si>
    <t>Stephanie Hovancik</t>
  </si>
  <si>
    <t>25</t>
  </si>
  <si>
    <t>Laura Lopez</t>
  </si>
  <si>
    <t>30</t>
  </si>
  <si>
    <t>Becki Kiege</t>
  </si>
  <si>
    <t>35</t>
  </si>
  <si>
    <t>Lock-Mart</t>
  </si>
  <si>
    <t>AT&amp;T</t>
  </si>
  <si>
    <t>Name</t>
  </si>
  <si>
    <t>Team</t>
  </si>
  <si>
    <t>Time (mmsst)</t>
  </si>
  <si>
    <t>secs</t>
  </si>
  <si>
    <t>Pl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</si>
  <si>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</si>
  <si>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</si>
  <si>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</si>
  <si>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</si>
  <si>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</si>
  <si>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</si>
  <si>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</si>
  <si>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</si>
  <si>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</si>
  <si>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</si>
  <si>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</si>
  <si>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</si>
  <si>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</si>
  <si>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</si>
  <si>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</si>
  <si>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</si>
  <si>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</si>
  <si>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</si>
  <si>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</si>
  <si>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</si>
  <si>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</si>
  <si>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</si>
  <si>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</si>
  <si>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</si>
  <si>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</si>
  <si>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</si>
  <si>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</si>
  <si>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</si>
  <si>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</si>
  <si>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</si>
  <si>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</si>
  <si>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</si>
  <si>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</si>
  <si>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</si>
  <si>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1st Attempt (FFIITH)</t>
  </si>
  <si>
    <t>IBM</t>
  </si>
  <si>
    <t>Debbie Deutsch</t>
  </si>
  <si>
    <t>Kristina Park</t>
  </si>
  <si>
    <t>Grace Voss</t>
  </si>
  <si>
    <t>Archie Ljepava</t>
  </si>
  <si>
    <t>Carol Mendoza</t>
  </si>
  <si>
    <t>Marian Richard</t>
  </si>
  <si>
    <t>Stacy Rue</t>
  </si>
  <si>
    <t>Dave Delucchi</t>
  </si>
  <si>
    <t>Tom O'Connor</t>
  </si>
  <si>
    <t>Tom Capples</t>
  </si>
  <si>
    <t>David Garcia</t>
  </si>
  <si>
    <t>Dennis Kurtis</t>
  </si>
  <si>
    <t>Lowell Davis</t>
  </si>
  <si>
    <t>Clayton Gibbs</t>
  </si>
  <si>
    <t>Kamar Washington</t>
  </si>
  <si>
    <t>Melissa White</t>
  </si>
  <si>
    <t>Frank Mendoza</t>
  </si>
  <si>
    <t>Frank C. Jones</t>
  </si>
  <si>
    <t>unn</t>
  </si>
  <si>
    <t>Al Schmidt</t>
  </si>
  <si>
    <t>Bruce Bradley</t>
  </si>
  <si>
    <t>Wayne Plymale</t>
  </si>
  <si>
    <t>Bruce Thrupp</t>
  </si>
  <si>
    <t>Mike Davis</t>
  </si>
  <si>
    <t>Craig Welch</t>
  </si>
  <si>
    <t>Bob Lord</t>
  </si>
  <si>
    <t>David Noland</t>
  </si>
  <si>
    <t>Jim Bahls</t>
  </si>
  <si>
    <t>Erika Flint</t>
  </si>
  <si>
    <t>Diane Reese</t>
  </si>
  <si>
    <t>Le Kha</t>
  </si>
  <si>
    <t>David Pogue</t>
  </si>
  <si>
    <t>Eph Romesberg</t>
  </si>
  <si>
    <t>GE</t>
  </si>
  <si>
    <t>Mario Guzman</t>
  </si>
  <si>
    <t>Altera</t>
  </si>
  <si>
    <t>Daniel Lanovaz</t>
  </si>
  <si>
    <t>Dave McIntyre</t>
  </si>
  <si>
    <t>Jennifer Mackey</t>
  </si>
  <si>
    <t>Michelle Perry</t>
  </si>
  <si>
    <t>Laura Reese</t>
  </si>
  <si>
    <t>Alex Rivlin</t>
  </si>
  <si>
    <t>Ying Shi</t>
  </si>
  <si>
    <t>Hoang Tong</t>
  </si>
  <si>
    <t xml:space="preserve">Ron Beach </t>
  </si>
  <si>
    <t>Jack Chiang</t>
  </si>
  <si>
    <t>Eva Condron</t>
  </si>
  <si>
    <t>Fred Haghverdian</t>
  </si>
  <si>
    <t>Doug Hofgartner</t>
  </si>
  <si>
    <t>John St. Germain</t>
  </si>
  <si>
    <t>David Swan</t>
  </si>
  <si>
    <t>Chris Swan</t>
  </si>
  <si>
    <t>Altera #A</t>
  </si>
  <si>
    <t>Altera #B</t>
  </si>
  <si>
    <t>Betty Root</t>
  </si>
  <si>
    <t>Devjit Chakravarti</t>
  </si>
  <si>
    <t>Arnon Amir</t>
  </si>
  <si>
    <t>Arlene Hazi</t>
  </si>
  <si>
    <t>Timothy Waybright</t>
  </si>
  <si>
    <t>Tim Waybright</t>
  </si>
  <si>
    <t>Richard Capatosto</t>
  </si>
  <si>
    <t>Kathy Leal</t>
  </si>
  <si>
    <t>Fei-Mei Chou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</si>
</sst>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'##&quot;.&quot;##"/>
    <numFmt numFmtId="165" formatCode="##&quot;:&quot;##&quot;.&quot;#"/>
  </numFmts>
  <fonts count="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A1">
      <selection activeCell="M17" sqref="M17"/>
    </sheetView>
  </sheetViews>
  <sheetFormatPr defaultColWidth="9.140625" defaultRowHeight="12.75"/>
  <cols>
    <col min="1" max="1" width="17.00390625" style="1" bestFit="1" customWidth="1"/>
    <col min="2" max="2" width="9.28125" style="1" bestFit="1" customWidth="1"/>
    <col min="3" max="4" width="4.28125" style="1" customWidth="1"/>
    <col min="5" max="5" width="7.8515625" style="3" bestFit="1" customWidth="1"/>
    <col min="6" max="8" width="7.57421875" style="3" bestFit="1" customWidth="1"/>
    <col min="9" max="9" width="11.7109375" style="4" bestFit="1" customWidth="1"/>
    <col min="10" max="10" width="6.28125" style="2" bestFit="1" customWidth="1"/>
    <col min="11" max="11" width="5.28125" style="2" bestFit="1" customWidth="1"/>
    <col min="12" max="12" width="5.00390625" style="2" bestFit="1" customWidth="1"/>
    <col min="13" max="13" width="5.57421875" style="2" bestFit="1" customWidth="1"/>
    <col min="14" max="14" width="7.00390625" style="0" bestFit="1" customWidth="1"/>
    <col min="15" max="18" width="4.00390625" style="0" bestFit="1" customWidth="1"/>
    <col min="19" max="19" width="3.00390625" style="0" bestFit="1" customWidth="1"/>
    <col min="20" max="22" width="4.00390625" style="0" bestFit="1" customWidth="1"/>
    <col min="23" max="23" width="3.00390625" style="0" bestFit="1" customWidth="1"/>
    <col min="24" max="26" width="3.00390625" style="0" customWidth="1"/>
    <col min="27" max="28" width="4.00390625" style="0" bestFit="1" customWidth="1"/>
    <col min="29" max="29" width="3.00390625" style="0" customWidth="1"/>
    <col min="30" max="31" width="4.00390625" style="0" bestFit="1" customWidth="1"/>
    <col min="32" max="38" width="3.00390625" style="0" customWidth="1"/>
    <col min="39" max="16384" width="9.00390625" style="0" customWidth="1"/>
  </cols>
  <sheetData>
    <row r="1" spans="1:38" ht="38.25">
      <c r="A1" s="1" t="s">
        <v>53</v>
      </c>
      <c r="B1" s="1" t="s">
        <v>54</v>
      </c>
      <c r="C1" s="1" t="s">
        <v>0</v>
      </c>
      <c r="D1" s="1" t="s">
        <v>1</v>
      </c>
      <c r="E1" s="5" t="s">
        <v>92</v>
      </c>
      <c r="F1" s="5" t="s">
        <v>3</v>
      </c>
      <c r="G1" s="5" t="s">
        <v>4</v>
      </c>
      <c r="H1" s="5" t="s">
        <v>5</v>
      </c>
      <c r="I1" s="6" t="s">
        <v>6</v>
      </c>
      <c r="J1" s="2" t="s">
        <v>7</v>
      </c>
      <c r="K1" s="7" t="s">
        <v>8</v>
      </c>
      <c r="L1" s="7" t="s">
        <v>9</v>
      </c>
      <c r="M1" s="7" t="s">
        <v>10</v>
      </c>
      <c r="N1" s="8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38</v>
      </c>
      <c r="Y1" s="9" t="s">
        <v>39</v>
      </c>
      <c r="Z1" s="9" t="s">
        <v>40</v>
      </c>
      <c r="AA1" s="9" t="s">
        <v>21</v>
      </c>
      <c r="AB1" s="9" t="s">
        <v>22</v>
      </c>
      <c r="AC1" s="9" t="s">
        <v>23</v>
      </c>
      <c r="AD1" s="9" t="s">
        <v>24</v>
      </c>
      <c r="AE1" s="9" t="s">
        <v>25</v>
      </c>
      <c r="AF1" s="9" t="s">
        <v>26</v>
      </c>
      <c r="AG1" s="9" t="s">
        <v>27</v>
      </c>
      <c r="AH1" s="9" t="s">
        <v>28</v>
      </c>
      <c r="AI1" s="9" t="s">
        <v>29</v>
      </c>
      <c r="AJ1" s="9" t="s">
        <v>35</v>
      </c>
      <c r="AK1" s="9" t="s">
        <v>36</v>
      </c>
      <c r="AL1" s="9" t="s">
        <v>37</v>
      </c>
    </row>
    <row r="2" spans="1:38" ht="12.75">
      <c r="A2" s="1" t="s">
        <v>144</v>
      </c>
      <c r="B2" s="1" t="s">
        <v>146</v>
      </c>
      <c r="C2" s="1" t="s">
        <v>32</v>
      </c>
      <c r="D2" s="1">
        <v>40</v>
      </c>
      <c r="E2" s="3">
        <v>350500</v>
      </c>
      <c r="I2" s="4">
        <f aca="true" t="shared" si="0" ref="I2:I21">IF(E2&gt;F2,IF(E2&gt;G2,IF(E2&gt;H2,E2,H2),IF(G2&gt;H2,G2,H2)),IF(F2&gt;G2,IF(F2&gt;H2,F2,H2),IF(G2&gt;H2,G2,H2)))</f>
        <v>350500</v>
      </c>
      <c r="J2" s="2">
        <f aca="true" t="shared" si="1" ref="J2:J21">SUM(O2:AL2)</f>
        <v>644</v>
      </c>
      <c r="K2" s="2">
        <v>511</v>
      </c>
      <c r="L2" s="2">
        <f aca="true" t="shared" si="2" ref="L2:L21">SUM(J2+K2)</f>
        <v>1155</v>
      </c>
      <c r="N2">
        <f aca="true" t="shared" si="3" ref="N2:N21">SUM((INT(I2/10000)*12)+((I2-((INT(I2/10000)*12)/12*10000))/100))</f>
        <v>425</v>
      </c>
      <c r="O2">
        <f aca="true" t="shared" si="4" ref="O2:O21">IF(AND(C2="M",D2=25),INT(N2/867*1000),0)</f>
        <v>0</v>
      </c>
      <c r="P2">
        <f aca="true" t="shared" si="5" ref="P2:P21">IF(AND(C2="M",D2=30),INT(N2/798.5*1000),0)</f>
        <v>0</v>
      </c>
      <c r="Q2">
        <f aca="true" t="shared" si="6" ref="Q2:Q21">IF(AND(C2="M",D2=35),INT(N2/728*1000),0)</f>
        <v>0</v>
      </c>
      <c r="R2">
        <f aca="true" t="shared" si="7" ref="R2:R21">IF(AND(C2="M",D2=40),INT(N2/659*1000),0)</f>
        <v>644</v>
      </c>
      <c r="S2">
        <f aca="true" t="shared" si="8" ref="S2:S21">IF(AND(C2="M",D2=45),INT(N2/591.5*1000),0)</f>
        <v>0</v>
      </c>
      <c r="T2">
        <f aca="true" t="shared" si="9" ref="T2:T21">IF(AND(C2="M",D2=50),INT(N2/654*1000),0)</f>
        <v>0</v>
      </c>
      <c r="U2">
        <f aca="true" t="shared" si="10" ref="U2:U21">IF(AND(C2="M",D2=55),INT(N2/620*1000),0)</f>
        <v>0</v>
      </c>
      <c r="V2">
        <f aca="true" t="shared" si="11" ref="V2:V21">IF(AND(C2="M",D2=60),INT(N2/664*1000),0)</f>
        <v>0</v>
      </c>
      <c r="W2">
        <f aca="true" t="shared" si="12" ref="W2:W21">IF(AND(C2="M",D2=65),INT(N2/580*1000),0)</f>
        <v>0</v>
      </c>
      <c r="X2">
        <f>IF(AND(C2="M",D2=70),INT(N2/539*1000),0)</f>
        <v>0</v>
      </c>
      <c r="Y2">
        <f>IF(AND(C2="M",D2=75),INT(N2/497.75*1000),0)</f>
        <v>0</v>
      </c>
      <c r="Z2">
        <f>IF(AND(C2="M",D2=80),INT(N2/483*1000),0)</f>
        <v>0</v>
      </c>
      <c r="AA2">
        <f aca="true" t="shared" si="13" ref="AA2:AA21">IF(AND(C2="F",D2=25),INT(N2/752*1000),0)</f>
        <v>0</v>
      </c>
      <c r="AB2">
        <f aca="true" t="shared" si="14" ref="AB2:AB21">IF(AND(C2="F",D2=30),INT(N2/711*1000),0)</f>
        <v>0</v>
      </c>
      <c r="AC2">
        <f aca="true" t="shared" si="15" ref="AC2:AC21">IF(AND(C2="F",D2=35),INT(N2/670*1000),0)</f>
        <v>0</v>
      </c>
      <c r="AD2">
        <f aca="true" t="shared" si="16" ref="AD2:AD21">IF(AND(C2="F",D2=40),INT(N2/629*1000),0)</f>
        <v>0</v>
      </c>
      <c r="AE2">
        <f aca="true" t="shared" si="17" ref="AE2:AE21">IF(AND(C2="F",D2=45),INT(N2/588*1000),0)</f>
        <v>0</v>
      </c>
      <c r="AF2">
        <f aca="true" t="shared" si="18" ref="AF2:AF21">IF(AND(C2="F",D2=50),INT(N2/547*1000),0)</f>
        <v>0</v>
      </c>
      <c r="AG2">
        <f aca="true" t="shared" si="19" ref="AG2:AG21">IF(AND(C2="F",D2=55),INT(N2/542*1000),0)</f>
        <v>0</v>
      </c>
      <c r="AH2">
        <f aca="true" t="shared" si="20" ref="AH2:AH21">IF(AND(C2="F",D2=60),INT(N2/465*1000),0)</f>
        <v>0</v>
      </c>
      <c r="AI2">
        <f>IF(AND(C2="F",D2=65),INT(N2/424*1000),0)</f>
        <v>0</v>
      </c>
      <c r="AJ2">
        <f>IF(AND(C2="F",D2=70),INT(N2/321*1000),0)</f>
        <v>0</v>
      </c>
      <c r="AK2">
        <f>IF(AND(C2="F",D2=75),INT(N2/293*1000),0)</f>
        <v>0</v>
      </c>
      <c r="AL2">
        <f>IF(AND(C2="F",D2=80),INT(N2/270.25*1000),0)</f>
        <v>0</v>
      </c>
    </row>
    <row r="3" spans="1:38" ht="12.75">
      <c r="A3" s="1" t="s">
        <v>141</v>
      </c>
      <c r="B3" s="1" t="s">
        <v>146</v>
      </c>
      <c r="C3" s="1" t="s">
        <v>32</v>
      </c>
      <c r="D3" s="1">
        <v>35</v>
      </c>
      <c r="E3" s="3">
        <v>290950</v>
      </c>
      <c r="I3" s="4">
        <f t="shared" si="0"/>
        <v>290950</v>
      </c>
      <c r="J3" s="2">
        <f t="shared" si="1"/>
        <v>491</v>
      </c>
      <c r="K3" s="2">
        <v>398</v>
      </c>
      <c r="L3" s="2">
        <f t="shared" si="2"/>
        <v>889</v>
      </c>
      <c r="M3" s="2">
        <v>2044</v>
      </c>
      <c r="N3">
        <f t="shared" si="3"/>
        <v>357.5</v>
      </c>
      <c r="O3">
        <f t="shared" si="4"/>
        <v>0</v>
      </c>
      <c r="P3">
        <f t="shared" si="5"/>
        <v>0</v>
      </c>
      <c r="Q3">
        <f t="shared" si="6"/>
        <v>491</v>
      </c>
      <c r="R3">
        <f t="shared" si="7"/>
        <v>0</v>
      </c>
      <c r="S3">
        <f t="shared" si="8"/>
        <v>0</v>
      </c>
      <c r="T3">
        <f t="shared" si="9"/>
        <v>0</v>
      </c>
      <c r="U3">
        <f t="shared" si="10"/>
        <v>0</v>
      </c>
      <c r="V3">
        <f t="shared" si="11"/>
        <v>0</v>
      </c>
      <c r="W3">
        <f t="shared" si="12"/>
        <v>0</v>
      </c>
      <c r="X3">
        <f aca="true" t="shared" si="21" ref="X3:X21">IF(AND(C3="M",D3=70),INT(N3/539*1000),0)</f>
        <v>0</v>
      </c>
      <c r="Y3">
        <f aca="true" t="shared" si="22" ref="Y3:Y21">IF(AND(C3="M",D3=75),INT(N3/497.75*1000),0)</f>
        <v>0</v>
      </c>
      <c r="Z3">
        <f aca="true" t="shared" si="23" ref="Z3:Z21">IF(AND(C3="M",D3=80),INT(N3/483*1000),0)</f>
        <v>0</v>
      </c>
      <c r="AA3">
        <f t="shared" si="13"/>
        <v>0</v>
      </c>
      <c r="AB3">
        <f t="shared" si="14"/>
        <v>0</v>
      </c>
      <c r="AC3">
        <f t="shared" si="15"/>
        <v>0</v>
      </c>
      <c r="AD3">
        <f t="shared" si="16"/>
        <v>0</v>
      </c>
      <c r="AE3">
        <f t="shared" si="17"/>
        <v>0</v>
      </c>
      <c r="AF3">
        <f t="shared" si="18"/>
        <v>0</v>
      </c>
      <c r="AG3">
        <f t="shared" si="19"/>
        <v>0</v>
      </c>
      <c r="AH3">
        <f t="shared" si="20"/>
        <v>0</v>
      </c>
      <c r="AI3">
        <f aca="true" t="shared" si="24" ref="AI3:AI21">IF(AND(C3="F",D3=65),INT(N3/424*1000),0)</f>
        <v>0</v>
      </c>
      <c r="AJ3">
        <f aca="true" t="shared" si="25" ref="AJ3:AJ21">IF(AND(C3="F",D3=70),INT(N3/321*1000),0)</f>
        <v>0</v>
      </c>
      <c r="AK3">
        <f aca="true" t="shared" si="26" ref="AK3:AK21">IF(AND(C3="F",D3=75),INT(N3/293*1000),0)</f>
        <v>0</v>
      </c>
      <c r="AL3">
        <f aca="true" t="shared" si="27" ref="AL3:AL21">IF(AND(C3="F",D3=80),INT(N3/270.25*1000),0)</f>
        <v>0</v>
      </c>
    </row>
    <row r="4" spans="1:38" ht="12.75">
      <c r="A4" s="1" t="s">
        <v>143</v>
      </c>
      <c r="B4" s="1" t="s">
        <v>146</v>
      </c>
      <c r="C4" s="1" t="s">
        <v>32</v>
      </c>
      <c r="D4" s="1">
        <v>35</v>
      </c>
      <c r="E4" s="3">
        <v>270475</v>
      </c>
      <c r="I4" s="4">
        <f t="shared" si="0"/>
        <v>270475</v>
      </c>
      <c r="J4" s="2">
        <f t="shared" si="1"/>
        <v>451</v>
      </c>
      <c r="K4" s="2">
        <v>392</v>
      </c>
      <c r="L4" s="2">
        <f t="shared" si="2"/>
        <v>843</v>
      </c>
      <c r="N4">
        <f t="shared" si="3"/>
        <v>328.75</v>
      </c>
      <c r="O4">
        <f t="shared" si="4"/>
        <v>0</v>
      </c>
      <c r="P4">
        <f t="shared" si="5"/>
        <v>0</v>
      </c>
      <c r="Q4">
        <f t="shared" si="6"/>
        <v>451</v>
      </c>
      <c r="R4">
        <f t="shared" si="7"/>
        <v>0</v>
      </c>
      <c r="S4">
        <f t="shared" si="8"/>
        <v>0</v>
      </c>
      <c r="T4">
        <f t="shared" si="9"/>
        <v>0</v>
      </c>
      <c r="U4">
        <f t="shared" si="10"/>
        <v>0</v>
      </c>
      <c r="V4">
        <f t="shared" si="11"/>
        <v>0</v>
      </c>
      <c r="W4">
        <f t="shared" si="12"/>
        <v>0</v>
      </c>
      <c r="X4">
        <f t="shared" si="21"/>
        <v>0</v>
      </c>
      <c r="Y4">
        <f t="shared" si="22"/>
        <v>0</v>
      </c>
      <c r="Z4">
        <f t="shared" si="23"/>
        <v>0</v>
      </c>
      <c r="AA4">
        <f t="shared" si="13"/>
        <v>0</v>
      </c>
      <c r="AB4">
        <f t="shared" si="14"/>
        <v>0</v>
      </c>
      <c r="AC4">
        <f t="shared" si="15"/>
        <v>0</v>
      </c>
      <c r="AD4">
        <f t="shared" si="16"/>
        <v>0</v>
      </c>
      <c r="AE4">
        <f t="shared" si="17"/>
        <v>0</v>
      </c>
      <c r="AF4">
        <f t="shared" si="18"/>
        <v>0</v>
      </c>
      <c r="AG4">
        <f t="shared" si="19"/>
        <v>0</v>
      </c>
      <c r="AH4">
        <f t="shared" si="20"/>
        <v>0</v>
      </c>
      <c r="AI4">
        <f t="shared" si="24"/>
        <v>0</v>
      </c>
      <c r="AJ4">
        <f t="shared" si="25"/>
        <v>0</v>
      </c>
      <c r="AK4">
        <f t="shared" si="26"/>
        <v>0</v>
      </c>
      <c r="AL4">
        <f t="shared" si="27"/>
        <v>0</v>
      </c>
    </row>
    <row r="5" spans="1:38" ht="12.75">
      <c r="A5" s="1" t="s">
        <v>145</v>
      </c>
      <c r="B5" s="1" t="s">
        <v>147</v>
      </c>
      <c r="C5" s="1" t="s">
        <v>32</v>
      </c>
      <c r="D5" s="1">
        <v>40</v>
      </c>
      <c r="E5" s="3">
        <v>300600</v>
      </c>
      <c r="I5" s="4">
        <f t="shared" si="0"/>
        <v>300600</v>
      </c>
      <c r="J5" s="2">
        <f t="shared" si="1"/>
        <v>555</v>
      </c>
      <c r="K5" s="2">
        <v>386</v>
      </c>
      <c r="L5" s="2">
        <f t="shared" si="2"/>
        <v>941</v>
      </c>
      <c r="N5">
        <f t="shared" si="3"/>
        <v>366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555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W5">
        <f t="shared" si="12"/>
        <v>0</v>
      </c>
      <c r="X5">
        <f t="shared" si="21"/>
        <v>0</v>
      </c>
      <c r="Y5">
        <f t="shared" si="22"/>
        <v>0</v>
      </c>
      <c r="Z5">
        <f t="shared" si="23"/>
        <v>0</v>
      </c>
      <c r="AA5">
        <f t="shared" si="13"/>
        <v>0</v>
      </c>
      <c r="AB5">
        <f t="shared" si="14"/>
        <v>0</v>
      </c>
      <c r="AC5">
        <f t="shared" si="15"/>
        <v>0</v>
      </c>
      <c r="AD5">
        <f t="shared" si="16"/>
        <v>0</v>
      </c>
      <c r="AE5">
        <f t="shared" si="17"/>
        <v>0</v>
      </c>
      <c r="AF5">
        <f t="shared" si="18"/>
        <v>0</v>
      </c>
      <c r="AG5">
        <f t="shared" si="19"/>
        <v>0</v>
      </c>
      <c r="AH5">
        <f t="shared" si="20"/>
        <v>0</v>
      </c>
      <c r="AI5">
        <f t="shared" si="24"/>
        <v>0</v>
      </c>
      <c r="AJ5">
        <f t="shared" si="25"/>
        <v>0</v>
      </c>
      <c r="AK5">
        <f t="shared" si="26"/>
        <v>0</v>
      </c>
      <c r="AL5">
        <f t="shared" si="27"/>
        <v>0</v>
      </c>
    </row>
    <row r="6" spans="1:38" ht="12.75">
      <c r="A6" s="1" t="s">
        <v>140</v>
      </c>
      <c r="B6" s="1" t="s">
        <v>147</v>
      </c>
      <c r="C6" s="1" t="s">
        <v>41</v>
      </c>
      <c r="D6" s="1">
        <v>30</v>
      </c>
      <c r="E6" s="3">
        <v>250750</v>
      </c>
      <c r="I6" s="4">
        <f t="shared" si="0"/>
        <v>250750</v>
      </c>
      <c r="J6" s="2">
        <f t="shared" si="1"/>
        <v>432</v>
      </c>
      <c r="K6" s="2">
        <v>302</v>
      </c>
      <c r="L6" s="2">
        <f t="shared" si="2"/>
        <v>734</v>
      </c>
      <c r="N6">
        <f t="shared" si="3"/>
        <v>307.5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W6">
        <f t="shared" si="12"/>
        <v>0</v>
      </c>
      <c r="X6">
        <f t="shared" si="21"/>
        <v>0</v>
      </c>
      <c r="Y6">
        <f t="shared" si="22"/>
        <v>0</v>
      </c>
      <c r="Z6">
        <f t="shared" si="23"/>
        <v>0</v>
      </c>
      <c r="AA6">
        <f t="shared" si="13"/>
        <v>0</v>
      </c>
      <c r="AB6">
        <f t="shared" si="14"/>
        <v>432</v>
      </c>
      <c r="AC6">
        <f t="shared" si="15"/>
        <v>0</v>
      </c>
      <c r="AD6">
        <f t="shared" si="16"/>
        <v>0</v>
      </c>
      <c r="AE6">
        <f t="shared" si="17"/>
        <v>0</v>
      </c>
      <c r="AF6">
        <f t="shared" si="18"/>
        <v>0</v>
      </c>
      <c r="AG6">
        <f t="shared" si="19"/>
        <v>0</v>
      </c>
      <c r="AH6">
        <f t="shared" si="20"/>
        <v>0</v>
      </c>
      <c r="AI6">
        <f t="shared" si="24"/>
        <v>0</v>
      </c>
      <c r="AJ6">
        <f t="shared" si="25"/>
        <v>0</v>
      </c>
      <c r="AK6">
        <f t="shared" si="26"/>
        <v>0</v>
      </c>
      <c r="AL6">
        <f t="shared" si="27"/>
        <v>0</v>
      </c>
    </row>
    <row r="7" spans="1:38" ht="12.75">
      <c r="A7" s="1" t="s">
        <v>138</v>
      </c>
      <c r="B7" s="1" t="s">
        <v>147</v>
      </c>
      <c r="C7" s="1" t="s">
        <v>32</v>
      </c>
      <c r="D7" s="1">
        <v>40</v>
      </c>
      <c r="E7" s="3">
        <v>370075</v>
      </c>
      <c r="I7" s="4">
        <f t="shared" si="0"/>
        <v>370075</v>
      </c>
      <c r="J7" s="2">
        <f t="shared" si="1"/>
        <v>674</v>
      </c>
      <c r="K7" s="2">
        <v>531</v>
      </c>
      <c r="L7" s="2">
        <f t="shared" si="2"/>
        <v>1205</v>
      </c>
      <c r="M7" s="2">
        <v>2146</v>
      </c>
      <c r="N7">
        <f t="shared" si="3"/>
        <v>444.75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674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W7">
        <f t="shared" si="12"/>
        <v>0</v>
      </c>
      <c r="X7">
        <f t="shared" si="21"/>
        <v>0</v>
      </c>
      <c r="Y7">
        <f t="shared" si="22"/>
        <v>0</v>
      </c>
      <c r="Z7">
        <f t="shared" si="23"/>
        <v>0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>
        <f t="shared" si="18"/>
        <v>0</v>
      </c>
      <c r="AG7">
        <f t="shared" si="19"/>
        <v>0</v>
      </c>
      <c r="AH7">
        <f t="shared" si="20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</row>
    <row r="8" spans="1:38" ht="12.75">
      <c r="A8" s="1" t="s">
        <v>125</v>
      </c>
      <c r="B8" s="1" t="s">
        <v>93</v>
      </c>
      <c r="C8" s="1" t="s">
        <v>32</v>
      </c>
      <c r="D8" s="1">
        <v>55</v>
      </c>
      <c r="E8" s="3">
        <v>260525</v>
      </c>
      <c r="I8" s="4">
        <f t="shared" si="0"/>
        <v>260525</v>
      </c>
      <c r="J8" s="2">
        <f t="shared" si="1"/>
        <v>511</v>
      </c>
      <c r="K8" s="2">
        <v>334</v>
      </c>
      <c r="L8" s="2">
        <f t="shared" si="2"/>
        <v>845</v>
      </c>
      <c r="N8">
        <f t="shared" si="3"/>
        <v>317.25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511</v>
      </c>
      <c r="V8">
        <f t="shared" si="11"/>
        <v>0</v>
      </c>
      <c r="W8">
        <f t="shared" si="12"/>
        <v>0</v>
      </c>
      <c r="X8">
        <f t="shared" si="21"/>
        <v>0</v>
      </c>
      <c r="Y8">
        <f t="shared" si="22"/>
        <v>0</v>
      </c>
      <c r="Z8">
        <f t="shared" si="23"/>
        <v>0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>
        <f t="shared" si="18"/>
        <v>0</v>
      </c>
      <c r="AG8">
        <f t="shared" si="19"/>
        <v>0</v>
      </c>
      <c r="AH8">
        <f t="shared" si="20"/>
        <v>0</v>
      </c>
      <c r="AI8">
        <f t="shared" si="24"/>
        <v>0</v>
      </c>
      <c r="AJ8">
        <f t="shared" si="25"/>
        <v>0</v>
      </c>
      <c r="AK8">
        <f t="shared" si="26"/>
        <v>0</v>
      </c>
      <c r="AL8">
        <f t="shared" si="27"/>
        <v>0</v>
      </c>
    </row>
    <row r="9" spans="1:38" ht="12.75">
      <c r="A9" s="1" t="s">
        <v>94</v>
      </c>
      <c r="B9" s="1" t="s">
        <v>93</v>
      </c>
      <c r="C9" s="1" t="s">
        <v>41</v>
      </c>
      <c r="D9" s="1">
        <v>40</v>
      </c>
      <c r="E9" s="3">
        <v>310450</v>
      </c>
      <c r="I9" s="4">
        <f t="shared" si="0"/>
        <v>310450</v>
      </c>
      <c r="J9" s="2">
        <f t="shared" si="1"/>
        <v>598</v>
      </c>
      <c r="K9" s="2">
        <v>318</v>
      </c>
      <c r="L9" s="2">
        <f t="shared" si="2"/>
        <v>916</v>
      </c>
      <c r="M9" s="2">
        <v>1761</v>
      </c>
      <c r="N9">
        <f t="shared" si="3"/>
        <v>376.5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W9">
        <f t="shared" si="12"/>
        <v>0</v>
      </c>
      <c r="X9">
        <f t="shared" si="21"/>
        <v>0</v>
      </c>
      <c r="Y9">
        <f t="shared" si="22"/>
        <v>0</v>
      </c>
      <c r="Z9">
        <f t="shared" si="23"/>
        <v>0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598</v>
      </c>
      <c r="AE9">
        <f t="shared" si="17"/>
        <v>0</v>
      </c>
      <c r="AF9">
        <f t="shared" si="18"/>
        <v>0</v>
      </c>
      <c r="AG9">
        <f t="shared" si="19"/>
        <v>0</v>
      </c>
      <c r="AH9">
        <f t="shared" si="20"/>
        <v>0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</row>
    <row r="10" spans="1:38" ht="12.75">
      <c r="A10" s="1" t="s">
        <v>151</v>
      </c>
      <c r="B10" s="1" t="s">
        <v>51</v>
      </c>
      <c r="C10" s="1" t="s">
        <v>41</v>
      </c>
      <c r="D10" s="1">
        <v>25</v>
      </c>
      <c r="E10" s="3">
        <v>230900</v>
      </c>
      <c r="I10" s="4">
        <f t="shared" si="0"/>
        <v>230900</v>
      </c>
      <c r="J10" s="2">
        <f t="shared" si="1"/>
        <v>378</v>
      </c>
      <c r="K10" s="2">
        <v>282</v>
      </c>
      <c r="L10" s="2">
        <f t="shared" si="2"/>
        <v>660</v>
      </c>
      <c r="N10">
        <f t="shared" si="3"/>
        <v>285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t="shared" si="12"/>
        <v>0</v>
      </c>
      <c r="X10">
        <f t="shared" si="21"/>
        <v>0</v>
      </c>
      <c r="Y10">
        <f t="shared" si="22"/>
        <v>0</v>
      </c>
      <c r="Z10">
        <f t="shared" si="23"/>
        <v>0</v>
      </c>
      <c r="AA10">
        <f t="shared" si="13"/>
        <v>378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>
        <f t="shared" si="18"/>
        <v>0</v>
      </c>
      <c r="AG10">
        <f t="shared" si="19"/>
        <v>0</v>
      </c>
      <c r="AH10">
        <f t="shared" si="20"/>
        <v>0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</row>
    <row r="11" spans="1:38" ht="12.75">
      <c r="A11" s="1" t="s">
        <v>110</v>
      </c>
      <c r="B11" s="1" t="s">
        <v>51</v>
      </c>
      <c r="C11" s="1" t="s">
        <v>32</v>
      </c>
      <c r="D11" s="1">
        <v>50</v>
      </c>
      <c r="I11" s="4">
        <f t="shared" si="0"/>
        <v>0</v>
      </c>
      <c r="J11" s="2">
        <f t="shared" si="1"/>
        <v>0</v>
      </c>
      <c r="L11" s="2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t="shared" si="12"/>
        <v>0</v>
      </c>
      <c r="X11">
        <f t="shared" si="21"/>
        <v>0</v>
      </c>
      <c r="Y11">
        <f t="shared" si="22"/>
        <v>0</v>
      </c>
      <c r="Z11">
        <f t="shared" si="23"/>
        <v>0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>
        <f t="shared" si="18"/>
        <v>0</v>
      </c>
      <c r="AG11">
        <f t="shared" si="19"/>
        <v>0</v>
      </c>
      <c r="AH11">
        <f t="shared" si="20"/>
        <v>0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</row>
    <row r="12" spans="1:38" ht="12.75">
      <c r="A12" s="1" t="s">
        <v>108</v>
      </c>
      <c r="B12" s="1" t="s">
        <v>51</v>
      </c>
      <c r="C12" s="1" t="s">
        <v>32</v>
      </c>
      <c r="D12" s="1">
        <v>25</v>
      </c>
      <c r="I12" s="4">
        <f t="shared" si="0"/>
        <v>0</v>
      </c>
      <c r="J12" s="2">
        <f t="shared" si="1"/>
        <v>0</v>
      </c>
      <c r="L12" s="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t="shared" si="12"/>
        <v>0</v>
      </c>
      <c r="X12">
        <f t="shared" si="21"/>
        <v>0</v>
      </c>
      <c r="Y12">
        <f t="shared" si="22"/>
        <v>0</v>
      </c>
      <c r="Z12">
        <f t="shared" si="23"/>
        <v>0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>
        <f t="shared" si="18"/>
        <v>0</v>
      </c>
      <c r="AG12">
        <f t="shared" si="19"/>
        <v>0</v>
      </c>
      <c r="AH12">
        <f t="shared" si="20"/>
        <v>0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</row>
    <row r="13" spans="1:38" ht="12.75">
      <c r="A13" s="1" t="s">
        <v>109</v>
      </c>
      <c r="B13" s="1" t="s">
        <v>51</v>
      </c>
      <c r="C13" s="1" t="s">
        <v>41</v>
      </c>
      <c r="D13" s="1">
        <v>45</v>
      </c>
      <c r="E13" s="3">
        <v>220600</v>
      </c>
      <c r="I13" s="4">
        <f t="shared" si="0"/>
        <v>220600</v>
      </c>
      <c r="J13" s="2">
        <f t="shared" si="1"/>
        <v>459</v>
      </c>
      <c r="K13" s="2">
        <v>348</v>
      </c>
      <c r="L13" s="2">
        <f t="shared" si="2"/>
        <v>807</v>
      </c>
      <c r="N13">
        <f t="shared" si="3"/>
        <v>270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t="shared" si="12"/>
        <v>0</v>
      </c>
      <c r="X13">
        <f t="shared" si="21"/>
        <v>0</v>
      </c>
      <c r="Y13">
        <f t="shared" si="22"/>
        <v>0</v>
      </c>
      <c r="Z13">
        <f t="shared" si="23"/>
        <v>0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459</v>
      </c>
      <c r="AF13">
        <f t="shared" si="18"/>
        <v>0</v>
      </c>
      <c r="AG13">
        <f t="shared" si="19"/>
        <v>0</v>
      </c>
      <c r="AH13">
        <f t="shared" si="20"/>
        <v>0</v>
      </c>
      <c r="AI13">
        <f t="shared" si="24"/>
        <v>0</v>
      </c>
      <c r="AJ13">
        <f t="shared" si="25"/>
        <v>0</v>
      </c>
      <c r="AK13">
        <f t="shared" si="26"/>
        <v>0</v>
      </c>
      <c r="AL13">
        <f t="shared" si="27"/>
        <v>0</v>
      </c>
    </row>
    <row r="14" spans="1:38" ht="12.75">
      <c r="A14" s="1" t="s">
        <v>152</v>
      </c>
      <c r="B14" s="1" t="s">
        <v>51</v>
      </c>
      <c r="C14" s="1" t="s">
        <v>32</v>
      </c>
      <c r="D14" s="1">
        <v>30</v>
      </c>
      <c r="E14" s="3">
        <v>290300</v>
      </c>
      <c r="I14" s="4">
        <f t="shared" si="0"/>
        <v>290300</v>
      </c>
      <c r="J14" s="2">
        <f t="shared" si="1"/>
        <v>439</v>
      </c>
      <c r="K14" s="2">
        <v>313</v>
      </c>
      <c r="L14" s="2">
        <f t="shared" si="2"/>
        <v>752</v>
      </c>
      <c r="M14" s="2">
        <v>1559</v>
      </c>
      <c r="N14">
        <f t="shared" si="3"/>
        <v>351</v>
      </c>
      <c r="O14">
        <f t="shared" si="4"/>
        <v>0</v>
      </c>
      <c r="P14">
        <f t="shared" si="5"/>
        <v>439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t="shared" si="12"/>
        <v>0</v>
      </c>
      <c r="X14">
        <f t="shared" si="21"/>
        <v>0</v>
      </c>
      <c r="Y14">
        <f t="shared" si="22"/>
        <v>0</v>
      </c>
      <c r="Z14">
        <f t="shared" si="23"/>
        <v>0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</row>
    <row r="15" spans="1:38" ht="12.75">
      <c r="A15" s="1" t="s">
        <v>42</v>
      </c>
      <c r="B15" s="1" t="s">
        <v>33</v>
      </c>
      <c r="C15" s="1" t="s">
        <v>32</v>
      </c>
      <c r="D15" s="1">
        <v>50</v>
      </c>
      <c r="E15" s="1">
        <v>420250</v>
      </c>
      <c r="I15" s="4">
        <f t="shared" si="0"/>
        <v>420250</v>
      </c>
      <c r="J15" s="2">
        <f t="shared" si="1"/>
        <v>774</v>
      </c>
      <c r="K15" s="2">
        <v>479</v>
      </c>
      <c r="L15" s="2">
        <f t="shared" si="2"/>
        <v>1253</v>
      </c>
      <c r="N15">
        <f t="shared" si="3"/>
        <v>506.5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774</v>
      </c>
      <c r="U15">
        <f t="shared" si="10"/>
        <v>0</v>
      </c>
      <c r="V15">
        <f t="shared" si="11"/>
        <v>0</v>
      </c>
      <c r="W15">
        <f t="shared" si="12"/>
        <v>0</v>
      </c>
      <c r="X15">
        <f t="shared" si="21"/>
        <v>0</v>
      </c>
      <c r="Y15">
        <f t="shared" si="22"/>
        <v>0</v>
      </c>
      <c r="Z15">
        <f t="shared" si="23"/>
        <v>0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>
        <f t="shared" si="18"/>
        <v>0</v>
      </c>
      <c r="AG15">
        <f t="shared" si="19"/>
        <v>0</v>
      </c>
      <c r="AH15">
        <f t="shared" si="20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</row>
    <row r="16" spans="1:38" ht="12.75">
      <c r="A16" s="1" t="s">
        <v>34</v>
      </c>
      <c r="B16" s="1" t="s">
        <v>33</v>
      </c>
      <c r="C16" s="1" t="s">
        <v>32</v>
      </c>
      <c r="D16" s="1">
        <v>60</v>
      </c>
      <c r="E16" s="3">
        <v>440600</v>
      </c>
      <c r="I16" s="4">
        <f t="shared" si="0"/>
        <v>440600</v>
      </c>
      <c r="J16" s="2">
        <f t="shared" si="1"/>
        <v>804</v>
      </c>
      <c r="K16" s="2">
        <v>630</v>
      </c>
      <c r="L16" s="2">
        <f t="shared" si="2"/>
        <v>1434</v>
      </c>
      <c r="M16" s="2">
        <v>2687</v>
      </c>
      <c r="N16">
        <f t="shared" si="3"/>
        <v>534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804</v>
      </c>
      <c r="W16">
        <f t="shared" si="12"/>
        <v>0</v>
      </c>
      <c r="X16">
        <f t="shared" si="21"/>
        <v>0</v>
      </c>
      <c r="Y16">
        <f t="shared" si="22"/>
        <v>0</v>
      </c>
      <c r="Z16">
        <f t="shared" si="23"/>
        <v>0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>
        <f t="shared" si="18"/>
        <v>0</v>
      </c>
      <c r="AG16">
        <f t="shared" si="19"/>
        <v>0</v>
      </c>
      <c r="AH16">
        <f t="shared" si="20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</row>
    <row r="17" spans="1:38" ht="12.75">
      <c r="A17" s="1" t="s">
        <v>111</v>
      </c>
      <c r="B17" s="1" t="s">
        <v>112</v>
      </c>
      <c r="C17" s="1" t="s">
        <v>32</v>
      </c>
      <c r="D17" s="1">
        <v>25</v>
      </c>
      <c r="E17" s="3">
        <v>411150</v>
      </c>
      <c r="I17" s="4">
        <f t="shared" si="0"/>
        <v>411150</v>
      </c>
      <c r="J17" s="2">
        <f t="shared" si="1"/>
        <v>580</v>
      </c>
      <c r="K17" s="2">
        <v>557</v>
      </c>
      <c r="L17" s="2">
        <f t="shared" si="2"/>
        <v>1137</v>
      </c>
      <c r="N17">
        <f t="shared" si="3"/>
        <v>503.5</v>
      </c>
      <c r="O17">
        <f t="shared" si="4"/>
        <v>580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t="shared" si="12"/>
        <v>0</v>
      </c>
      <c r="X17">
        <f t="shared" si="21"/>
        <v>0</v>
      </c>
      <c r="Y17">
        <f t="shared" si="22"/>
        <v>0</v>
      </c>
      <c r="Z17">
        <f t="shared" si="23"/>
        <v>0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>
        <f t="shared" si="18"/>
        <v>0</v>
      </c>
      <c r="AG17">
        <f t="shared" si="19"/>
        <v>0</v>
      </c>
      <c r="AH17">
        <f t="shared" si="20"/>
        <v>0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</row>
    <row r="18" spans="9:38" ht="12.75">
      <c r="I18" s="4">
        <f t="shared" si="0"/>
        <v>0</v>
      </c>
      <c r="J18" s="2">
        <f t="shared" si="1"/>
        <v>0</v>
      </c>
      <c r="L18" s="2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t="shared" si="12"/>
        <v>0</v>
      </c>
      <c r="X18">
        <f t="shared" si="21"/>
        <v>0</v>
      </c>
      <c r="Y18">
        <f t="shared" si="22"/>
        <v>0</v>
      </c>
      <c r="Z18">
        <f t="shared" si="23"/>
        <v>0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>
        <f t="shared" si="24"/>
        <v>0</v>
      </c>
      <c r="AJ18">
        <f t="shared" si="25"/>
        <v>0</v>
      </c>
      <c r="AK18">
        <f t="shared" si="26"/>
        <v>0</v>
      </c>
      <c r="AL18">
        <f t="shared" si="27"/>
        <v>0</v>
      </c>
    </row>
    <row r="19" spans="9:38" ht="12.75">
      <c r="I19" s="4">
        <f t="shared" si="0"/>
        <v>0</v>
      </c>
      <c r="J19" s="2">
        <f t="shared" si="1"/>
        <v>0</v>
      </c>
      <c r="L19" s="2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t="shared" si="12"/>
        <v>0</v>
      </c>
      <c r="X19">
        <f t="shared" si="21"/>
        <v>0</v>
      </c>
      <c r="Y19">
        <f t="shared" si="22"/>
        <v>0</v>
      </c>
      <c r="Z19">
        <f t="shared" si="23"/>
        <v>0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>
        <f t="shared" si="18"/>
        <v>0</v>
      </c>
      <c r="AG19">
        <f t="shared" si="19"/>
        <v>0</v>
      </c>
      <c r="AH19">
        <f t="shared" si="20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</row>
    <row r="20" spans="9:38" ht="12.75">
      <c r="I20" s="4">
        <f t="shared" si="0"/>
        <v>0</v>
      </c>
      <c r="J20" s="2">
        <f t="shared" si="1"/>
        <v>0</v>
      </c>
      <c r="L20" s="2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t="shared" si="12"/>
        <v>0</v>
      </c>
      <c r="X20">
        <f t="shared" si="21"/>
        <v>0</v>
      </c>
      <c r="Y20">
        <f t="shared" si="22"/>
        <v>0</v>
      </c>
      <c r="Z20">
        <f t="shared" si="23"/>
        <v>0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>
        <f t="shared" si="18"/>
        <v>0</v>
      </c>
      <c r="AG20">
        <f t="shared" si="19"/>
        <v>0</v>
      </c>
      <c r="AH20">
        <f t="shared" si="20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</row>
    <row r="21" spans="9:38" ht="12.75">
      <c r="I21" s="4">
        <f t="shared" si="0"/>
        <v>0</v>
      </c>
      <c r="J21" s="2">
        <f t="shared" si="1"/>
        <v>0</v>
      </c>
      <c r="L21" s="2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t="shared" si="12"/>
        <v>0</v>
      </c>
      <c r="X21">
        <f t="shared" si="21"/>
        <v>0</v>
      </c>
      <c r="Y21">
        <f t="shared" si="22"/>
        <v>0</v>
      </c>
      <c r="Z21">
        <f t="shared" si="23"/>
        <v>0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G1">
      <selection activeCell="A17" sqref="A2:IV17"/>
    </sheetView>
  </sheetViews>
  <sheetFormatPr defaultColWidth="9.140625" defaultRowHeight="12.75"/>
  <cols>
    <col min="1" max="1" width="17.140625" style="1" customWidth="1"/>
    <col min="2" max="2" width="9.28125" style="1" bestFit="1" customWidth="1"/>
    <col min="3" max="4" width="4.28125" style="1" customWidth="1"/>
    <col min="5" max="5" width="8.8515625" style="3" bestFit="1" customWidth="1"/>
    <col min="6" max="8" width="7.57421875" style="3" bestFit="1" customWidth="1"/>
    <col min="9" max="9" width="9.8515625" style="4" bestFit="1" customWidth="1"/>
    <col min="10" max="10" width="6.28125" style="2" bestFit="1" customWidth="1"/>
    <col min="11" max="13" width="3.421875" style="2" bestFit="1" customWidth="1"/>
    <col min="14" max="14" width="7.00390625" style="0" bestFit="1" customWidth="1"/>
    <col min="15" max="18" width="4.00390625" style="0" bestFit="1" customWidth="1"/>
    <col min="19" max="19" width="3.00390625" style="0" customWidth="1"/>
    <col min="20" max="22" width="4.00390625" style="0" bestFit="1" customWidth="1"/>
    <col min="23" max="26" width="3.00390625" style="0" customWidth="1"/>
    <col min="27" max="28" width="4.00390625" style="0" bestFit="1" customWidth="1"/>
    <col min="29" max="29" width="3.00390625" style="0" customWidth="1"/>
    <col min="30" max="31" width="4.00390625" style="0" bestFit="1" customWidth="1"/>
    <col min="32" max="38" width="3.00390625" style="0" customWidth="1"/>
    <col min="39" max="16384" width="9.00390625" style="0" customWidth="1"/>
  </cols>
  <sheetData>
    <row r="1" spans="1:38" ht="38.25">
      <c r="A1" s="1" t="s">
        <v>53</v>
      </c>
      <c r="B1" s="1" t="s">
        <v>54</v>
      </c>
      <c r="C1" s="1" t="s">
        <v>0</v>
      </c>
      <c r="D1" s="1" t="s">
        <v>1</v>
      </c>
      <c r="E1" s="5" t="s">
        <v>92</v>
      </c>
      <c r="F1" s="5" t="s">
        <v>3</v>
      </c>
      <c r="G1" s="5" t="s">
        <v>4</v>
      </c>
      <c r="H1" s="5" t="s">
        <v>5</v>
      </c>
      <c r="I1" s="10" t="s">
        <v>6</v>
      </c>
      <c r="J1" s="2" t="s">
        <v>7</v>
      </c>
      <c r="K1" s="2" t="s">
        <v>30</v>
      </c>
      <c r="L1" s="7" t="s">
        <v>30</v>
      </c>
      <c r="M1" s="7" t="s">
        <v>30</v>
      </c>
      <c r="N1" s="8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38</v>
      </c>
      <c r="Y1" s="9" t="s">
        <v>39</v>
      </c>
      <c r="Z1" s="9" t="s">
        <v>40</v>
      </c>
      <c r="AA1" s="9" t="s">
        <v>21</v>
      </c>
      <c r="AB1" s="9" t="s">
        <v>22</v>
      </c>
      <c r="AC1" s="9" t="s">
        <v>23</v>
      </c>
      <c r="AD1" s="9" t="s">
        <v>24</v>
      </c>
      <c r="AE1" s="9" t="s">
        <v>25</v>
      </c>
      <c r="AF1" s="9" t="s">
        <v>26</v>
      </c>
      <c r="AG1" s="9" t="s">
        <v>27</v>
      </c>
      <c r="AH1" s="9" t="s">
        <v>28</v>
      </c>
      <c r="AI1" s="9" t="s">
        <v>29</v>
      </c>
      <c r="AJ1" s="9" t="s">
        <v>35</v>
      </c>
      <c r="AK1" s="9" t="s">
        <v>36</v>
      </c>
      <c r="AL1" s="9" t="s">
        <v>37</v>
      </c>
    </row>
    <row r="2" spans="1:38" ht="12.75">
      <c r="A2" s="1" t="s">
        <v>151</v>
      </c>
      <c r="B2" s="1" t="s">
        <v>51</v>
      </c>
      <c r="C2" s="1" t="s">
        <v>41</v>
      </c>
      <c r="D2" s="1">
        <v>25</v>
      </c>
      <c r="E2" s="3">
        <v>610150</v>
      </c>
      <c r="I2" s="4">
        <f aca="true" t="shared" si="0" ref="I2:I21">IF(E2&gt;F2,IF(E2&gt;G2,IF(E2&gt;H2,E2,H2),IF(G2&gt;H2,G2,H2)),IF(F2&gt;G2,IF(F2&gt;H2,F2,H2),IF(G2&gt;H2,G2,H2)))</f>
        <v>610150</v>
      </c>
      <c r="J2" s="2">
        <f aca="true" t="shared" si="1" ref="J2:J21">SUM(O2:AL2)</f>
        <v>282</v>
      </c>
      <c r="N2">
        <f aca="true" t="shared" si="2" ref="N2:N21">SUM((INT(I2/10000)*12)+((I2-((INT(I2/10000)*12)/12*10000))/100))</f>
        <v>733.5</v>
      </c>
      <c r="O2">
        <f aca="true" t="shared" si="3" ref="O2:O21">IF(AND(C2="M",D2=25),INT(N2/2736*1000),0)</f>
        <v>0</v>
      </c>
      <c r="P2">
        <f aca="true" t="shared" si="4" ref="P2:P21">IF(AND(C2="M",D2=30),INT(N2/2733*1000),0)</f>
        <v>0</v>
      </c>
      <c r="Q2">
        <f aca="true" t="shared" si="5" ref="Q2:Q21">IF(AND(C2="M",D2=35),INT(N2/2595*1000),0)</f>
        <v>0</v>
      </c>
      <c r="R2">
        <f aca="true" t="shared" si="6" ref="R2:R21">IF(AND(C2="M",D2=40),INT(N2/2464*1000),0)</f>
        <v>0</v>
      </c>
      <c r="S2">
        <f aca="true" t="shared" si="7" ref="S2:S21">IF(AND(C2="M",D2=45),INT(N2/2318*1000),0)</f>
        <v>0</v>
      </c>
      <c r="T2">
        <f aca="true" t="shared" si="8" ref="T2:T21">IF(AND(C2="M",D2=50),INT(N2/2432*1000),0)</f>
        <v>0</v>
      </c>
      <c r="U2">
        <f aca="true" t="shared" si="9" ref="U2:U21">IF(AND(C2="M",D2=55),INT(N2/2280*1000),0)</f>
        <v>0</v>
      </c>
      <c r="V2">
        <f aca="true" t="shared" si="10" ref="V2:V21">IF(AND(C2="M",D2=60),INT(N2/2442*1000),0)</f>
        <v>0</v>
      </c>
      <c r="W2">
        <f aca="true" t="shared" si="11" ref="W2:W21">IF(AND(C2="M",D2=65),INT(N2/2224*1000),0)</f>
        <v>0</v>
      </c>
      <c r="X2">
        <f aca="true" t="shared" si="12" ref="X2:X21">IF(AND(C2="M",D2=70),INT(N2/1818*1000),0)</f>
        <v>0</v>
      </c>
      <c r="Y2">
        <f aca="true" t="shared" si="13" ref="Y2:Y21">IF(AND(C2="M",D2=75),INT(N2/1538*1000),0)</f>
        <v>0</v>
      </c>
      <c r="Z2">
        <f aca="true" t="shared" si="14" ref="Z2:Z21">IF(AND(C2="M",D2=80),INT(N2/1460*1000),0)</f>
        <v>0</v>
      </c>
      <c r="AA2">
        <f aca="true" t="shared" si="15" ref="AA2:AA21">IF(AND(C2="F",D2=25),INT(N2/2598*1000),0)</f>
        <v>282</v>
      </c>
      <c r="AB2">
        <f aca="true" t="shared" si="16" ref="AB2:AB21">IF(AND(C2="F",D2=30),INT(N2/2595*1000),0)</f>
        <v>0</v>
      </c>
      <c r="AC2">
        <f aca="true" t="shared" si="17" ref="AC2:AC21">IF(AND(C2="F",D2=35),INT(N2/2439*1000),0)</f>
        <v>0</v>
      </c>
      <c r="AD2">
        <f aca="true" t="shared" si="18" ref="AD2:AD21">IF(AND(C2="F",D2=40),INT(N2/2295*1000),0)</f>
        <v>0</v>
      </c>
      <c r="AE2">
        <f aca="true" t="shared" si="19" ref="AE2:AE21">IF(AND(C2="F",D2=45),INT(N2/2147*1000),0)</f>
        <v>0</v>
      </c>
      <c r="AF2">
        <f aca="true" t="shared" si="20" ref="AF2:AF21">IF(AND(C2="F",D2=50),INT(N2/1983*1000),0)</f>
        <v>0</v>
      </c>
      <c r="AG2">
        <f aca="true" t="shared" si="21" ref="AG2:AG21">IF(AND(C2="F",D2=55),INT(N2/1816*1000),0)</f>
        <v>0</v>
      </c>
      <c r="AH2">
        <f aca="true" t="shared" si="22" ref="AH2:AH21">IF(AND(C2="F",D2=60),INT(N2/1655*1000),0)</f>
        <v>0</v>
      </c>
      <c r="AI2">
        <f aca="true" t="shared" si="23" ref="AI2:AI21">IF(AND(C2="F",D2=65),INT(N2/1502*1000),0)</f>
        <v>0</v>
      </c>
      <c r="AJ2">
        <f aca="true" t="shared" si="24" ref="AJ2:AJ21">IF(AND(C2="F",D2=70),INT(N2/887.5*1000),0)</f>
        <v>0</v>
      </c>
      <c r="AK2">
        <f aca="true" t="shared" si="25" ref="AK2:AK21">IF(AND(C2="F",D2=75),INT(N2/713*1000),0)</f>
        <v>0</v>
      </c>
      <c r="AL2">
        <f aca="true" t="shared" si="26" ref="AL2:AL21">IF(AND(C2="F",D2=80),INT(N2/585*1000),0)</f>
        <v>0</v>
      </c>
    </row>
    <row r="3" spans="1:38" ht="12.75">
      <c r="A3" s="1" t="s">
        <v>145</v>
      </c>
      <c r="B3" s="1" t="s">
        <v>147</v>
      </c>
      <c r="C3" s="1" t="s">
        <v>32</v>
      </c>
      <c r="D3" s="1">
        <v>40</v>
      </c>
      <c r="E3" s="1">
        <v>790550</v>
      </c>
      <c r="I3" s="4">
        <f t="shared" si="0"/>
        <v>790550</v>
      </c>
      <c r="J3" s="2">
        <f t="shared" si="1"/>
        <v>386</v>
      </c>
      <c r="N3">
        <f t="shared" si="2"/>
        <v>953.5</v>
      </c>
      <c r="O3">
        <f t="shared" si="3"/>
        <v>0</v>
      </c>
      <c r="P3">
        <f t="shared" si="4"/>
        <v>0</v>
      </c>
      <c r="Q3">
        <f t="shared" si="5"/>
        <v>0</v>
      </c>
      <c r="R3">
        <f t="shared" si="6"/>
        <v>386</v>
      </c>
      <c r="S3">
        <f t="shared" si="7"/>
        <v>0</v>
      </c>
      <c r="T3">
        <f t="shared" si="8"/>
        <v>0</v>
      </c>
      <c r="U3">
        <f t="shared" si="9"/>
        <v>0</v>
      </c>
      <c r="V3">
        <f t="shared" si="10"/>
        <v>0</v>
      </c>
      <c r="W3">
        <f t="shared" si="11"/>
        <v>0</v>
      </c>
      <c r="X3">
        <f t="shared" si="12"/>
        <v>0</v>
      </c>
      <c r="Y3">
        <f t="shared" si="13"/>
        <v>0</v>
      </c>
      <c r="Z3">
        <f t="shared" si="14"/>
        <v>0</v>
      </c>
      <c r="AA3">
        <f t="shared" si="15"/>
        <v>0</v>
      </c>
      <c r="AB3">
        <f t="shared" si="16"/>
        <v>0</v>
      </c>
      <c r="AC3">
        <f t="shared" si="17"/>
        <v>0</v>
      </c>
      <c r="AD3">
        <f t="shared" si="18"/>
        <v>0</v>
      </c>
      <c r="AE3">
        <f t="shared" si="19"/>
        <v>0</v>
      </c>
      <c r="AF3">
        <f t="shared" si="20"/>
        <v>0</v>
      </c>
      <c r="AG3">
        <f t="shared" si="21"/>
        <v>0</v>
      </c>
      <c r="AH3">
        <f t="shared" si="22"/>
        <v>0</v>
      </c>
      <c r="AI3">
        <f t="shared" si="23"/>
        <v>0</v>
      </c>
      <c r="AJ3">
        <f t="shared" si="24"/>
        <v>0</v>
      </c>
      <c r="AK3">
        <f t="shared" si="25"/>
        <v>0</v>
      </c>
      <c r="AL3">
        <f t="shared" si="26"/>
        <v>0</v>
      </c>
    </row>
    <row r="4" spans="1:38" ht="12.75">
      <c r="A4" s="1" t="s">
        <v>125</v>
      </c>
      <c r="B4" s="1" t="s">
        <v>93</v>
      </c>
      <c r="C4" s="1" t="s">
        <v>32</v>
      </c>
      <c r="D4" s="1">
        <v>55</v>
      </c>
      <c r="E4" s="3">
        <v>630775</v>
      </c>
      <c r="I4" s="4">
        <f t="shared" si="0"/>
        <v>630775</v>
      </c>
      <c r="J4" s="2">
        <f t="shared" si="1"/>
        <v>334</v>
      </c>
      <c r="N4">
        <f t="shared" si="2"/>
        <v>763.75</v>
      </c>
      <c r="O4">
        <f t="shared" si="3"/>
        <v>0</v>
      </c>
      <c r="P4">
        <f t="shared" si="4"/>
        <v>0</v>
      </c>
      <c r="Q4">
        <f t="shared" si="5"/>
        <v>0</v>
      </c>
      <c r="R4">
        <f t="shared" si="6"/>
        <v>0</v>
      </c>
      <c r="S4">
        <f t="shared" si="7"/>
        <v>0</v>
      </c>
      <c r="T4">
        <f t="shared" si="8"/>
        <v>0</v>
      </c>
      <c r="U4">
        <f t="shared" si="9"/>
        <v>334</v>
      </c>
      <c r="V4">
        <f t="shared" si="10"/>
        <v>0</v>
      </c>
      <c r="W4">
        <f t="shared" si="11"/>
        <v>0</v>
      </c>
      <c r="X4">
        <f t="shared" si="12"/>
        <v>0</v>
      </c>
      <c r="Y4">
        <f t="shared" si="13"/>
        <v>0</v>
      </c>
      <c r="Z4">
        <f t="shared" si="14"/>
        <v>0</v>
      </c>
      <c r="AA4">
        <f t="shared" si="15"/>
        <v>0</v>
      </c>
      <c r="AB4">
        <f t="shared" si="16"/>
        <v>0</v>
      </c>
      <c r="AC4">
        <f t="shared" si="17"/>
        <v>0</v>
      </c>
      <c r="AD4">
        <f t="shared" si="18"/>
        <v>0</v>
      </c>
      <c r="AE4">
        <f t="shared" si="19"/>
        <v>0</v>
      </c>
      <c r="AF4">
        <f t="shared" si="20"/>
        <v>0</v>
      </c>
      <c r="AG4">
        <f t="shared" si="21"/>
        <v>0</v>
      </c>
      <c r="AH4">
        <f t="shared" si="22"/>
        <v>0</v>
      </c>
      <c r="AI4">
        <f t="shared" si="23"/>
        <v>0</v>
      </c>
      <c r="AJ4">
        <f t="shared" si="24"/>
        <v>0</v>
      </c>
      <c r="AK4">
        <f t="shared" si="25"/>
        <v>0</v>
      </c>
      <c r="AL4">
        <f t="shared" si="26"/>
        <v>0</v>
      </c>
    </row>
    <row r="5" spans="1:38" ht="12.75">
      <c r="A5" s="1" t="s">
        <v>144</v>
      </c>
      <c r="B5" s="1" t="s">
        <v>146</v>
      </c>
      <c r="C5" s="1" t="s">
        <v>32</v>
      </c>
      <c r="D5" s="1">
        <v>40</v>
      </c>
      <c r="E5" s="3">
        <v>1050050</v>
      </c>
      <c r="I5" s="4">
        <f t="shared" si="0"/>
        <v>1050050</v>
      </c>
      <c r="J5" s="2">
        <f t="shared" si="1"/>
        <v>511</v>
      </c>
      <c r="N5">
        <f t="shared" si="2"/>
        <v>1260.5</v>
      </c>
      <c r="O5">
        <f t="shared" si="3"/>
        <v>0</v>
      </c>
      <c r="P5">
        <f t="shared" si="4"/>
        <v>0</v>
      </c>
      <c r="Q5">
        <f t="shared" si="5"/>
        <v>0</v>
      </c>
      <c r="R5">
        <f t="shared" si="6"/>
        <v>511</v>
      </c>
      <c r="S5">
        <f t="shared" si="7"/>
        <v>0</v>
      </c>
      <c r="T5">
        <f t="shared" si="8"/>
        <v>0</v>
      </c>
      <c r="U5">
        <f t="shared" si="9"/>
        <v>0</v>
      </c>
      <c r="V5">
        <f t="shared" si="10"/>
        <v>0</v>
      </c>
      <c r="W5">
        <f t="shared" si="11"/>
        <v>0</v>
      </c>
      <c r="X5">
        <f t="shared" si="12"/>
        <v>0</v>
      </c>
      <c r="Y5">
        <f t="shared" si="13"/>
        <v>0</v>
      </c>
      <c r="Z5">
        <f t="shared" si="14"/>
        <v>0</v>
      </c>
      <c r="AA5">
        <f t="shared" si="15"/>
        <v>0</v>
      </c>
      <c r="AB5">
        <f t="shared" si="16"/>
        <v>0</v>
      </c>
      <c r="AC5">
        <f t="shared" si="17"/>
        <v>0</v>
      </c>
      <c r="AD5">
        <f t="shared" si="18"/>
        <v>0</v>
      </c>
      <c r="AE5">
        <f t="shared" si="19"/>
        <v>0</v>
      </c>
      <c r="AF5">
        <f t="shared" si="20"/>
        <v>0</v>
      </c>
      <c r="AG5">
        <f t="shared" si="21"/>
        <v>0</v>
      </c>
      <c r="AH5">
        <f t="shared" si="22"/>
        <v>0</v>
      </c>
      <c r="AI5">
        <f t="shared" si="23"/>
        <v>0</v>
      </c>
      <c r="AJ5">
        <f t="shared" si="24"/>
        <v>0</v>
      </c>
      <c r="AK5">
        <f t="shared" si="25"/>
        <v>0</v>
      </c>
      <c r="AL5">
        <f t="shared" si="26"/>
        <v>0</v>
      </c>
    </row>
    <row r="6" spans="1:38" ht="12.75">
      <c r="A6" s="1" t="s">
        <v>94</v>
      </c>
      <c r="B6" s="1" t="s">
        <v>93</v>
      </c>
      <c r="C6" s="1" t="s">
        <v>41</v>
      </c>
      <c r="D6" s="1">
        <v>40</v>
      </c>
      <c r="E6" s="3">
        <v>601050</v>
      </c>
      <c r="I6" s="4">
        <f t="shared" si="0"/>
        <v>601050</v>
      </c>
      <c r="J6" s="2">
        <f t="shared" si="1"/>
        <v>318</v>
      </c>
      <c r="N6">
        <f t="shared" si="2"/>
        <v>730.5</v>
      </c>
      <c r="O6">
        <f t="shared" si="3"/>
        <v>0</v>
      </c>
      <c r="P6">
        <f t="shared" si="4"/>
        <v>0</v>
      </c>
      <c r="Q6">
        <f t="shared" si="5"/>
        <v>0</v>
      </c>
      <c r="R6">
        <f t="shared" si="6"/>
        <v>0</v>
      </c>
      <c r="S6">
        <f t="shared" si="7"/>
        <v>0</v>
      </c>
      <c r="T6">
        <f t="shared" si="8"/>
        <v>0</v>
      </c>
      <c r="U6">
        <f t="shared" si="9"/>
        <v>0</v>
      </c>
      <c r="V6">
        <f t="shared" si="10"/>
        <v>0</v>
      </c>
      <c r="W6">
        <f t="shared" si="11"/>
        <v>0</v>
      </c>
      <c r="X6">
        <f t="shared" si="12"/>
        <v>0</v>
      </c>
      <c r="Y6">
        <f t="shared" si="13"/>
        <v>0</v>
      </c>
      <c r="Z6">
        <f t="shared" si="14"/>
        <v>0</v>
      </c>
      <c r="AA6">
        <f t="shared" si="15"/>
        <v>0</v>
      </c>
      <c r="AB6">
        <f t="shared" si="16"/>
        <v>0</v>
      </c>
      <c r="AC6">
        <f t="shared" si="17"/>
        <v>0</v>
      </c>
      <c r="AD6">
        <f t="shared" si="18"/>
        <v>318</v>
      </c>
      <c r="AE6">
        <f t="shared" si="19"/>
        <v>0</v>
      </c>
      <c r="AF6">
        <f t="shared" si="20"/>
        <v>0</v>
      </c>
      <c r="AG6">
        <f t="shared" si="21"/>
        <v>0</v>
      </c>
      <c r="AH6">
        <f t="shared" si="22"/>
        <v>0</v>
      </c>
      <c r="AI6">
        <f t="shared" si="23"/>
        <v>0</v>
      </c>
      <c r="AJ6">
        <f t="shared" si="24"/>
        <v>0</v>
      </c>
      <c r="AK6">
        <f t="shared" si="25"/>
        <v>0</v>
      </c>
      <c r="AL6">
        <f t="shared" si="26"/>
        <v>0</v>
      </c>
    </row>
    <row r="7" spans="1:38" ht="12.75">
      <c r="A7" s="1" t="s">
        <v>140</v>
      </c>
      <c r="B7" s="1" t="s">
        <v>147</v>
      </c>
      <c r="C7" s="1" t="s">
        <v>41</v>
      </c>
      <c r="D7" s="1">
        <v>30</v>
      </c>
      <c r="E7" s="3">
        <v>650550</v>
      </c>
      <c r="I7" s="4">
        <f t="shared" si="0"/>
        <v>650550</v>
      </c>
      <c r="J7" s="2">
        <f t="shared" si="1"/>
        <v>302</v>
      </c>
      <c r="N7">
        <f t="shared" si="2"/>
        <v>785.5</v>
      </c>
      <c r="O7">
        <f t="shared" si="3"/>
        <v>0</v>
      </c>
      <c r="P7">
        <f t="shared" si="4"/>
        <v>0</v>
      </c>
      <c r="Q7">
        <f t="shared" si="5"/>
        <v>0</v>
      </c>
      <c r="R7">
        <f t="shared" si="6"/>
        <v>0</v>
      </c>
      <c r="S7">
        <f t="shared" si="7"/>
        <v>0</v>
      </c>
      <c r="T7">
        <f t="shared" si="8"/>
        <v>0</v>
      </c>
      <c r="U7">
        <f t="shared" si="9"/>
        <v>0</v>
      </c>
      <c r="V7">
        <f t="shared" si="10"/>
        <v>0</v>
      </c>
      <c r="W7">
        <f t="shared" si="11"/>
        <v>0</v>
      </c>
      <c r="X7">
        <f t="shared" si="12"/>
        <v>0</v>
      </c>
      <c r="Y7">
        <f t="shared" si="13"/>
        <v>0</v>
      </c>
      <c r="Z7">
        <f t="shared" si="14"/>
        <v>0</v>
      </c>
      <c r="AA7">
        <f t="shared" si="15"/>
        <v>0</v>
      </c>
      <c r="AB7">
        <f t="shared" si="16"/>
        <v>302</v>
      </c>
      <c r="AC7">
        <f t="shared" si="17"/>
        <v>0</v>
      </c>
      <c r="AD7">
        <f t="shared" si="18"/>
        <v>0</v>
      </c>
      <c r="AE7">
        <f t="shared" si="19"/>
        <v>0</v>
      </c>
      <c r="AF7">
        <f t="shared" si="20"/>
        <v>0</v>
      </c>
      <c r="AG7">
        <f t="shared" si="21"/>
        <v>0</v>
      </c>
      <c r="AH7">
        <f t="shared" si="22"/>
        <v>0</v>
      </c>
      <c r="AI7">
        <f t="shared" si="23"/>
        <v>0</v>
      </c>
      <c r="AJ7">
        <f t="shared" si="24"/>
        <v>0</v>
      </c>
      <c r="AK7">
        <f t="shared" si="25"/>
        <v>0</v>
      </c>
      <c r="AL7">
        <f t="shared" si="26"/>
        <v>0</v>
      </c>
    </row>
    <row r="8" spans="1:38" ht="12.75">
      <c r="A8" s="1" t="s">
        <v>111</v>
      </c>
      <c r="B8" s="1" t="s">
        <v>112</v>
      </c>
      <c r="C8" s="1" t="s">
        <v>32</v>
      </c>
      <c r="D8" s="1">
        <v>25</v>
      </c>
      <c r="E8" s="3">
        <v>1270150</v>
      </c>
      <c r="I8" s="4">
        <f t="shared" si="0"/>
        <v>1270150</v>
      </c>
      <c r="J8" s="2">
        <f t="shared" si="1"/>
        <v>557</v>
      </c>
      <c r="N8">
        <f t="shared" si="2"/>
        <v>1525.5</v>
      </c>
      <c r="O8">
        <f t="shared" si="3"/>
        <v>557</v>
      </c>
      <c r="P8">
        <f t="shared" si="4"/>
        <v>0</v>
      </c>
      <c r="Q8">
        <f t="shared" si="5"/>
        <v>0</v>
      </c>
      <c r="R8">
        <f t="shared" si="6"/>
        <v>0</v>
      </c>
      <c r="S8">
        <f t="shared" si="7"/>
        <v>0</v>
      </c>
      <c r="T8">
        <f t="shared" si="8"/>
        <v>0</v>
      </c>
      <c r="U8">
        <f t="shared" si="9"/>
        <v>0</v>
      </c>
      <c r="V8">
        <f t="shared" si="10"/>
        <v>0</v>
      </c>
      <c r="W8">
        <f t="shared" si="11"/>
        <v>0</v>
      </c>
      <c r="X8">
        <f t="shared" si="12"/>
        <v>0</v>
      </c>
      <c r="Y8">
        <f t="shared" si="13"/>
        <v>0</v>
      </c>
      <c r="Z8">
        <f t="shared" si="14"/>
        <v>0</v>
      </c>
      <c r="AA8">
        <f t="shared" si="15"/>
        <v>0</v>
      </c>
      <c r="AB8">
        <f t="shared" si="16"/>
        <v>0</v>
      </c>
      <c r="AC8">
        <f t="shared" si="17"/>
        <v>0</v>
      </c>
      <c r="AD8">
        <f t="shared" si="18"/>
        <v>0</v>
      </c>
      <c r="AE8">
        <f t="shared" si="19"/>
        <v>0</v>
      </c>
      <c r="AF8">
        <f t="shared" si="20"/>
        <v>0</v>
      </c>
      <c r="AG8">
        <f t="shared" si="21"/>
        <v>0</v>
      </c>
      <c r="AH8">
        <f t="shared" si="22"/>
        <v>0</v>
      </c>
      <c r="AI8">
        <f t="shared" si="23"/>
        <v>0</v>
      </c>
      <c r="AJ8">
        <f t="shared" si="24"/>
        <v>0</v>
      </c>
      <c r="AK8">
        <f t="shared" si="25"/>
        <v>0</v>
      </c>
      <c r="AL8">
        <f t="shared" si="26"/>
        <v>0</v>
      </c>
    </row>
    <row r="9" spans="1:38" ht="12.75">
      <c r="A9" s="1" t="s">
        <v>110</v>
      </c>
      <c r="B9" s="1" t="s">
        <v>51</v>
      </c>
      <c r="C9" s="1" t="s">
        <v>32</v>
      </c>
      <c r="D9" s="1">
        <v>50</v>
      </c>
      <c r="I9" s="4">
        <f t="shared" si="0"/>
        <v>0</v>
      </c>
      <c r="J9" s="2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  <c r="Q9">
        <f t="shared" si="5"/>
        <v>0</v>
      </c>
      <c r="R9">
        <f t="shared" si="6"/>
        <v>0</v>
      </c>
      <c r="S9">
        <f t="shared" si="7"/>
        <v>0</v>
      </c>
      <c r="T9">
        <f t="shared" si="8"/>
        <v>0</v>
      </c>
      <c r="U9">
        <f t="shared" si="9"/>
        <v>0</v>
      </c>
      <c r="V9">
        <f t="shared" si="10"/>
        <v>0</v>
      </c>
      <c r="W9">
        <f t="shared" si="11"/>
        <v>0</v>
      </c>
      <c r="X9">
        <f t="shared" si="12"/>
        <v>0</v>
      </c>
      <c r="Y9">
        <f t="shared" si="13"/>
        <v>0</v>
      </c>
      <c r="Z9">
        <f t="shared" si="14"/>
        <v>0</v>
      </c>
      <c r="AA9">
        <f t="shared" si="15"/>
        <v>0</v>
      </c>
      <c r="AB9">
        <f t="shared" si="16"/>
        <v>0</v>
      </c>
      <c r="AC9">
        <f t="shared" si="17"/>
        <v>0</v>
      </c>
      <c r="AD9">
        <f t="shared" si="18"/>
        <v>0</v>
      </c>
      <c r="AE9">
        <f t="shared" si="19"/>
        <v>0</v>
      </c>
      <c r="AF9">
        <f t="shared" si="20"/>
        <v>0</v>
      </c>
      <c r="AG9">
        <f t="shared" si="21"/>
        <v>0</v>
      </c>
      <c r="AH9">
        <f t="shared" si="22"/>
        <v>0</v>
      </c>
      <c r="AI9">
        <f t="shared" si="23"/>
        <v>0</v>
      </c>
      <c r="AJ9">
        <f t="shared" si="24"/>
        <v>0</v>
      </c>
      <c r="AK9">
        <f t="shared" si="25"/>
        <v>0</v>
      </c>
      <c r="AL9">
        <f t="shared" si="26"/>
        <v>0</v>
      </c>
    </row>
    <row r="10" spans="1:38" ht="12.75">
      <c r="A10" s="1" t="s">
        <v>141</v>
      </c>
      <c r="B10" s="1" t="s">
        <v>146</v>
      </c>
      <c r="C10" s="1" t="s">
        <v>32</v>
      </c>
      <c r="D10" s="1">
        <v>35</v>
      </c>
      <c r="E10" s="3">
        <v>860250</v>
      </c>
      <c r="I10" s="4">
        <f t="shared" si="0"/>
        <v>860250</v>
      </c>
      <c r="J10" s="2">
        <f t="shared" si="1"/>
        <v>398</v>
      </c>
      <c r="N10">
        <f t="shared" si="2"/>
        <v>1034.5</v>
      </c>
      <c r="O10">
        <f t="shared" si="3"/>
        <v>0</v>
      </c>
      <c r="P10">
        <f t="shared" si="4"/>
        <v>0</v>
      </c>
      <c r="Q10">
        <f t="shared" si="5"/>
        <v>398</v>
      </c>
      <c r="R10">
        <f t="shared" si="6"/>
        <v>0</v>
      </c>
      <c r="S10">
        <f t="shared" si="7"/>
        <v>0</v>
      </c>
      <c r="T10">
        <f t="shared" si="8"/>
        <v>0</v>
      </c>
      <c r="U10">
        <f t="shared" si="9"/>
        <v>0</v>
      </c>
      <c r="V10">
        <f t="shared" si="10"/>
        <v>0</v>
      </c>
      <c r="W10">
        <f t="shared" si="11"/>
        <v>0</v>
      </c>
      <c r="X10">
        <f t="shared" si="12"/>
        <v>0</v>
      </c>
      <c r="Y10">
        <f t="shared" si="13"/>
        <v>0</v>
      </c>
      <c r="Z10">
        <f t="shared" si="14"/>
        <v>0</v>
      </c>
      <c r="AA10">
        <f t="shared" si="15"/>
        <v>0</v>
      </c>
      <c r="AB10">
        <f t="shared" si="16"/>
        <v>0</v>
      </c>
      <c r="AC10">
        <f t="shared" si="17"/>
        <v>0</v>
      </c>
      <c r="AD10">
        <f t="shared" si="18"/>
        <v>0</v>
      </c>
      <c r="AE10">
        <f t="shared" si="19"/>
        <v>0</v>
      </c>
      <c r="AF10">
        <f t="shared" si="20"/>
        <v>0</v>
      </c>
      <c r="AG10">
        <f t="shared" si="21"/>
        <v>0</v>
      </c>
      <c r="AH10">
        <f t="shared" si="22"/>
        <v>0</v>
      </c>
      <c r="AI10">
        <f t="shared" si="23"/>
        <v>0</v>
      </c>
      <c r="AJ10">
        <f t="shared" si="24"/>
        <v>0</v>
      </c>
      <c r="AK10">
        <f t="shared" si="25"/>
        <v>0</v>
      </c>
      <c r="AL10">
        <f t="shared" si="26"/>
        <v>0</v>
      </c>
    </row>
    <row r="11" spans="1:38" ht="12.75">
      <c r="A11" s="1" t="s">
        <v>143</v>
      </c>
      <c r="B11" s="1" t="s">
        <v>146</v>
      </c>
      <c r="C11" s="1" t="s">
        <v>32</v>
      </c>
      <c r="D11" s="1">
        <v>35</v>
      </c>
      <c r="E11" s="3">
        <v>841000</v>
      </c>
      <c r="I11" s="4">
        <f t="shared" si="0"/>
        <v>841000</v>
      </c>
      <c r="J11" s="2">
        <f t="shared" si="1"/>
        <v>392</v>
      </c>
      <c r="N11">
        <f t="shared" si="2"/>
        <v>1018</v>
      </c>
      <c r="O11">
        <f t="shared" si="3"/>
        <v>0</v>
      </c>
      <c r="P11">
        <f t="shared" si="4"/>
        <v>0</v>
      </c>
      <c r="Q11">
        <f t="shared" si="5"/>
        <v>392</v>
      </c>
      <c r="R11">
        <f t="shared" si="6"/>
        <v>0</v>
      </c>
      <c r="S11">
        <f t="shared" si="7"/>
        <v>0</v>
      </c>
      <c r="T11">
        <f t="shared" si="8"/>
        <v>0</v>
      </c>
      <c r="U11">
        <f t="shared" si="9"/>
        <v>0</v>
      </c>
      <c r="V11">
        <f t="shared" si="10"/>
        <v>0</v>
      </c>
      <c r="W11">
        <f t="shared" si="11"/>
        <v>0</v>
      </c>
      <c r="X11">
        <f t="shared" si="12"/>
        <v>0</v>
      </c>
      <c r="Y11">
        <f t="shared" si="13"/>
        <v>0</v>
      </c>
      <c r="Z11">
        <f t="shared" si="14"/>
        <v>0</v>
      </c>
      <c r="AA11">
        <f t="shared" si="15"/>
        <v>0</v>
      </c>
      <c r="AB11">
        <f t="shared" si="16"/>
        <v>0</v>
      </c>
      <c r="AC11">
        <f t="shared" si="17"/>
        <v>0</v>
      </c>
      <c r="AD11">
        <f t="shared" si="18"/>
        <v>0</v>
      </c>
      <c r="AE11">
        <f t="shared" si="19"/>
        <v>0</v>
      </c>
      <c r="AF11">
        <f t="shared" si="20"/>
        <v>0</v>
      </c>
      <c r="AG11">
        <f t="shared" si="21"/>
        <v>0</v>
      </c>
      <c r="AH11">
        <f t="shared" si="22"/>
        <v>0</v>
      </c>
      <c r="AI11">
        <f t="shared" si="23"/>
        <v>0</v>
      </c>
      <c r="AJ11">
        <f t="shared" si="24"/>
        <v>0</v>
      </c>
      <c r="AK11">
        <f t="shared" si="25"/>
        <v>0</v>
      </c>
      <c r="AL11">
        <f t="shared" si="26"/>
        <v>0</v>
      </c>
    </row>
    <row r="12" spans="1:38" ht="12.75">
      <c r="A12" s="1" t="s">
        <v>108</v>
      </c>
      <c r="B12" s="1" t="s">
        <v>51</v>
      </c>
      <c r="C12" s="1" t="s">
        <v>32</v>
      </c>
      <c r="D12" s="1">
        <v>25</v>
      </c>
      <c r="I12" s="4">
        <f t="shared" si="0"/>
        <v>0</v>
      </c>
      <c r="J12" s="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  <c r="Q12">
        <f t="shared" si="5"/>
        <v>0</v>
      </c>
      <c r="R12">
        <f t="shared" si="6"/>
        <v>0</v>
      </c>
      <c r="S12">
        <f t="shared" si="7"/>
        <v>0</v>
      </c>
      <c r="T12">
        <f t="shared" si="8"/>
        <v>0</v>
      </c>
      <c r="U12">
        <f t="shared" si="9"/>
        <v>0</v>
      </c>
      <c r="V12">
        <f t="shared" si="10"/>
        <v>0</v>
      </c>
      <c r="W12">
        <f t="shared" si="11"/>
        <v>0</v>
      </c>
      <c r="X12">
        <f t="shared" si="12"/>
        <v>0</v>
      </c>
      <c r="Y12">
        <f t="shared" si="13"/>
        <v>0</v>
      </c>
      <c r="Z12">
        <f t="shared" si="14"/>
        <v>0</v>
      </c>
      <c r="AA12">
        <f t="shared" si="15"/>
        <v>0</v>
      </c>
      <c r="AB12">
        <f t="shared" si="16"/>
        <v>0</v>
      </c>
      <c r="AC12">
        <f t="shared" si="17"/>
        <v>0</v>
      </c>
      <c r="AD12">
        <f t="shared" si="18"/>
        <v>0</v>
      </c>
      <c r="AE12">
        <f t="shared" si="19"/>
        <v>0</v>
      </c>
      <c r="AF12">
        <f t="shared" si="20"/>
        <v>0</v>
      </c>
      <c r="AG12">
        <f t="shared" si="21"/>
        <v>0</v>
      </c>
      <c r="AH12">
        <f t="shared" si="22"/>
        <v>0</v>
      </c>
      <c r="AI12">
        <f t="shared" si="23"/>
        <v>0</v>
      </c>
      <c r="AJ12">
        <f t="shared" si="24"/>
        <v>0</v>
      </c>
      <c r="AK12">
        <f t="shared" si="25"/>
        <v>0</v>
      </c>
      <c r="AL12">
        <f t="shared" si="26"/>
        <v>0</v>
      </c>
    </row>
    <row r="13" spans="1:38" ht="12.75">
      <c r="A13" s="1" t="s">
        <v>109</v>
      </c>
      <c r="B13" s="1" t="s">
        <v>51</v>
      </c>
      <c r="C13" s="1" t="s">
        <v>41</v>
      </c>
      <c r="D13" s="1">
        <v>45</v>
      </c>
      <c r="E13" s="3">
        <v>620500</v>
      </c>
      <c r="I13" s="4">
        <f t="shared" si="0"/>
        <v>620500</v>
      </c>
      <c r="J13" s="2">
        <f t="shared" si="1"/>
        <v>348</v>
      </c>
      <c r="N13">
        <f t="shared" si="2"/>
        <v>749</v>
      </c>
      <c r="O13">
        <f t="shared" si="3"/>
        <v>0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0</v>
      </c>
      <c r="T13">
        <f t="shared" si="8"/>
        <v>0</v>
      </c>
      <c r="U13">
        <f t="shared" si="9"/>
        <v>0</v>
      </c>
      <c r="V13">
        <f t="shared" si="10"/>
        <v>0</v>
      </c>
      <c r="W13">
        <f t="shared" si="11"/>
        <v>0</v>
      </c>
      <c r="X13">
        <f t="shared" si="12"/>
        <v>0</v>
      </c>
      <c r="Y13">
        <f t="shared" si="13"/>
        <v>0</v>
      </c>
      <c r="Z13">
        <f t="shared" si="14"/>
        <v>0</v>
      </c>
      <c r="AA13">
        <f t="shared" si="15"/>
        <v>0</v>
      </c>
      <c r="AB13">
        <f t="shared" si="16"/>
        <v>0</v>
      </c>
      <c r="AC13">
        <f t="shared" si="17"/>
        <v>0</v>
      </c>
      <c r="AD13">
        <f t="shared" si="18"/>
        <v>0</v>
      </c>
      <c r="AE13">
        <f t="shared" si="19"/>
        <v>348</v>
      </c>
      <c r="AF13">
        <f t="shared" si="20"/>
        <v>0</v>
      </c>
      <c r="AG13">
        <f t="shared" si="21"/>
        <v>0</v>
      </c>
      <c r="AH13">
        <f t="shared" si="22"/>
        <v>0</v>
      </c>
      <c r="AI13">
        <f t="shared" si="23"/>
        <v>0</v>
      </c>
      <c r="AJ13">
        <f t="shared" si="24"/>
        <v>0</v>
      </c>
      <c r="AK13">
        <f t="shared" si="25"/>
        <v>0</v>
      </c>
      <c r="AL13">
        <f t="shared" si="26"/>
        <v>0</v>
      </c>
    </row>
    <row r="14" spans="1:38" ht="12.75">
      <c r="A14" s="1" t="s">
        <v>42</v>
      </c>
      <c r="B14" s="1" t="s">
        <v>33</v>
      </c>
      <c r="C14" s="1" t="s">
        <v>32</v>
      </c>
      <c r="D14" s="1">
        <v>50</v>
      </c>
      <c r="E14" s="3">
        <v>970300</v>
      </c>
      <c r="I14" s="4">
        <f t="shared" si="0"/>
        <v>970300</v>
      </c>
      <c r="J14" s="2">
        <f t="shared" si="1"/>
        <v>479</v>
      </c>
      <c r="N14">
        <f t="shared" si="2"/>
        <v>1167</v>
      </c>
      <c r="O14">
        <f t="shared" si="3"/>
        <v>0</v>
      </c>
      <c r="P14">
        <f t="shared" si="4"/>
        <v>0</v>
      </c>
      <c r="Q14">
        <f t="shared" si="5"/>
        <v>0</v>
      </c>
      <c r="R14">
        <f t="shared" si="6"/>
        <v>0</v>
      </c>
      <c r="S14">
        <f t="shared" si="7"/>
        <v>0</v>
      </c>
      <c r="T14">
        <f t="shared" si="8"/>
        <v>479</v>
      </c>
      <c r="U14">
        <f t="shared" si="9"/>
        <v>0</v>
      </c>
      <c r="V14">
        <f t="shared" si="10"/>
        <v>0</v>
      </c>
      <c r="W14">
        <f t="shared" si="11"/>
        <v>0</v>
      </c>
      <c r="X14">
        <f t="shared" si="12"/>
        <v>0</v>
      </c>
      <c r="Y14">
        <f t="shared" si="13"/>
        <v>0</v>
      </c>
      <c r="Z14">
        <f t="shared" si="14"/>
        <v>0</v>
      </c>
      <c r="AA14">
        <f t="shared" si="15"/>
        <v>0</v>
      </c>
      <c r="AB14">
        <f t="shared" si="16"/>
        <v>0</v>
      </c>
      <c r="AC14">
        <f t="shared" si="17"/>
        <v>0</v>
      </c>
      <c r="AD14">
        <f t="shared" si="18"/>
        <v>0</v>
      </c>
      <c r="AE14">
        <f t="shared" si="19"/>
        <v>0</v>
      </c>
      <c r="AF14">
        <f t="shared" si="20"/>
        <v>0</v>
      </c>
      <c r="AG14">
        <f t="shared" si="21"/>
        <v>0</v>
      </c>
      <c r="AH14">
        <f t="shared" si="22"/>
        <v>0</v>
      </c>
      <c r="AI14">
        <f t="shared" si="23"/>
        <v>0</v>
      </c>
      <c r="AJ14">
        <f t="shared" si="24"/>
        <v>0</v>
      </c>
      <c r="AK14">
        <f t="shared" si="25"/>
        <v>0</v>
      </c>
      <c r="AL14">
        <f t="shared" si="26"/>
        <v>0</v>
      </c>
    </row>
    <row r="15" spans="1:38" ht="12.75">
      <c r="A15" s="1" t="s">
        <v>138</v>
      </c>
      <c r="B15" s="1" t="s">
        <v>147</v>
      </c>
      <c r="C15" s="1" t="s">
        <v>32</v>
      </c>
      <c r="D15" s="1">
        <v>40</v>
      </c>
      <c r="E15" s="3">
        <v>1090050</v>
      </c>
      <c r="I15" s="4">
        <f t="shared" si="0"/>
        <v>1090050</v>
      </c>
      <c r="J15" s="2">
        <f t="shared" si="1"/>
        <v>531</v>
      </c>
      <c r="N15">
        <f t="shared" si="2"/>
        <v>1308.5</v>
      </c>
      <c r="O15">
        <f t="shared" si="3"/>
        <v>0</v>
      </c>
      <c r="P15">
        <f t="shared" si="4"/>
        <v>0</v>
      </c>
      <c r="Q15">
        <f t="shared" si="5"/>
        <v>0</v>
      </c>
      <c r="R15">
        <f t="shared" si="6"/>
        <v>531</v>
      </c>
      <c r="S15">
        <f t="shared" si="7"/>
        <v>0</v>
      </c>
      <c r="T15">
        <f t="shared" si="8"/>
        <v>0</v>
      </c>
      <c r="U15">
        <f t="shared" si="9"/>
        <v>0</v>
      </c>
      <c r="V15">
        <f t="shared" si="10"/>
        <v>0</v>
      </c>
      <c r="W15">
        <f t="shared" si="11"/>
        <v>0</v>
      </c>
      <c r="X15">
        <f t="shared" si="12"/>
        <v>0</v>
      </c>
      <c r="Y15">
        <f t="shared" si="13"/>
        <v>0</v>
      </c>
      <c r="Z15">
        <f t="shared" si="14"/>
        <v>0</v>
      </c>
      <c r="AA15">
        <f t="shared" si="15"/>
        <v>0</v>
      </c>
      <c r="AB15">
        <f t="shared" si="16"/>
        <v>0</v>
      </c>
      <c r="AC15">
        <f t="shared" si="17"/>
        <v>0</v>
      </c>
      <c r="AD15">
        <f t="shared" si="18"/>
        <v>0</v>
      </c>
      <c r="AE15">
        <f t="shared" si="19"/>
        <v>0</v>
      </c>
      <c r="AF15">
        <f t="shared" si="20"/>
        <v>0</v>
      </c>
      <c r="AG15">
        <f t="shared" si="21"/>
        <v>0</v>
      </c>
      <c r="AH15">
        <f t="shared" si="22"/>
        <v>0</v>
      </c>
      <c r="AI15">
        <f t="shared" si="23"/>
        <v>0</v>
      </c>
      <c r="AJ15">
        <f t="shared" si="24"/>
        <v>0</v>
      </c>
      <c r="AK15">
        <f t="shared" si="25"/>
        <v>0</v>
      </c>
      <c r="AL15">
        <f t="shared" si="26"/>
        <v>0</v>
      </c>
    </row>
    <row r="16" spans="1:38" ht="12.75">
      <c r="A16" s="1" t="s">
        <v>34</v>
      </c>
      <c r="B16" s="1" t="s">
        <v>33</v>
      </c>
      <c r="C16" s="1" t="s">
        <v>32</v>
      </c>
      <c r="D16" s="1">
        <v>60</v>
      </c>
      <c r="E16" s="3">
        <v>1280350</v>
      </c>
      <c r="I16" s="4">
        <f t="shared" si="0"/>
        <v>1280350</v>
      </c>
      <c r="J16" s="2">
        <f t="shared" si="1"/>
        <v>630</v>
      </c>
      <c r="N16">
        <f t="shared" si="2"/>
        <v>1539.5</v>
      </c>
      <c r="O16">
        <f>IF(AND(C16="M",D16=25),INT(N16/2736*1000),0)</f>
        <v>0</v>
      </c>
      <c r="P16">
        <f>IF(AND(C16="M",D16=30),INT(N16/2733*1000),0)</f>
        <v>0</v>
      </c>
      <c r="Q16">
        <f>IF(AND(C16="M",D16=35),INT(N16/2595*1000),0)</f>
        <v>0</v>
      </c>
      <c r="R16">
        <f>IF(AND(C16="M",D16=40),INT(N16/2464*1000),0)</f>
        <v>0</v>
      </c>
      <c r="S16">
        <f>IF(AND(C16="M",D16=45),INT(N16/2318*1000),0)</f>
        <v>0</v>
      </c>
      <c r="T16">
        <f>IF(AND(C16="M",D16=50),INT(N16/2432*1000),0)</f>
        <v>0</v>
      </c>
      <c r="U16">
        <f>IF(AND(C16="M",D16=55),INT(N16/2280*1000),0)</f>
        <v>0</v>
      </c>
      <c r="V16">
        <f>IF(AND(C16="M",D16=60),INT(N16/2442*1000),0)</f>
        <v>630</v>
      </c>
      <c r="W16">
        <f>IF(AND(C16="M",D16=65),INT(N16/2224*1000),0)</f>
        <v>0</v>
      </c>
      <c r="X16">
        <f>IF(AND(C16="M",D16=70),INT(N16/1818*1000),0)</f>
        <v>0</v>
      </c>
      <c r="Y16">
        <f>IF(AND(C16="M",D16=75),INT(N16/1538*1000),0)</f>
        <v>0</v>
      </c>
      <c r="Z16">
        <f>IF(AND(C16="M",D16=80),INT(N16/1460*1000),0)</f>
        <v>0</v>
      </c>
      <c r="AA16">
        <f>IF(AND(C16="F",D16=25),INT(N16/2598*1000),0)</f>
        <v>0</v>
      </c>
      <c r="AB16">
        <f>IF(AND(C16="F",D16=30),INT(N16/2595*1000),0)</f>
        <v>0</v>
      </c>
      <c r="AC16">
        <f>IF(AND(C16="F",D16=35),INT(N16/2439*1000),0)</f>
        <v>0</v>
      </c>
      <c r="AD16">
        <f>IF(AND(C16="F",D16=40),INT(N16/2295*1000),0)</f>
        <v>0</v>
      </c>
      <c r="AE16">
        <f>IF(AND(C16="F",D16=45),INT(N16/2147*1000),0)</f>
        <v>0</v>
      </c>
      <c r="AF16">
        <f>IF(AND(C16="F",D16=50),INT(N16/1983*1000),0)</f>
        <v>0</v>
      </c>
      <c r="AG16">
        <f>IF(AND(C16="F",D16=55),INT(N16/1816*1000),0)</f>
        <v>0</v>
      </c>
      <c r="AH16">
        <f>IF(AND(C16="F",D16=60),INT(N16/1655*1000),0)</f>
        <v>0</v>
      </c>
      <c r="AI16">
        <f>IF(AND(C16="F",D16=65),INT(N16/1502*1000),0)</f>
        <v>0</v>
      </c>
      <c r="AJ16">
        <f>IF(AND(C16="F",D16=70),INT(N16/887.5*1000),0)</f>
        <v>0</v>
      </c>
      <c r="AK16">
        <f>IF(AND(C16="F",D16=75),INT(N16/713*1000),0)</f>
        <v>0</v>
      </c>
      <c r="AL16">
        <f>IF(AND(C16="F",D16=80),INT(N16/585*1000),0)</f>
        <v>0</v>
      </c>
    </row>
    <row r="17" spans="1:38" ht="12.75">
      <c r="A17" s="1" t="s">
        <v>153</v>
      </c>
      <c r="B17" s="1" t="s">
        <v>51</v>
      </c>
      <c r="C17" s="1" t="s">
        <v>32</v>
      </c>
      <c r="D17" s="1">
        <v>30</v>
      </c>
      <c r="E17" s="3">
        <v>710575</v>
      </c>
      <c r="I17" s="4">
        <f t="shared" si="0"/>
        <v>710575</v>
      </c>
      <c r="J17" s="2">
        <f t="shared" si="1"/>
        <v>313</v>
      </c>
      <c r="N17">
        <f t="shared" si="2"/>
        <v>857.75</v>
      </c>
      <c r="O17">
        <f t="shared" si="3"/>
        <v>0</v>
      </c>
      <c r="P17">
        <f t="shared" si="4"/>
        <v>313</v>
      </c>
      <c r="Q17">
        <f t="shared" si="5"/>
        <v>0</v>
      </c>
      <c r="R17">
        <f t="shared" si="6"/>
        <v>0</v>
      </c>
      <c r="S17">
        <f t="shared" si="7"/>
        <v>0</v>
      </c>
      <c r="T17">
        <f t="shared" si="8"/>
        <v>0</v>
      </c>
      <c r="U17">
        <f t="shared" si="9"/>
        <v>0</v>
      </c>
      <c r="V17">
        <f t="shared" si="10"/>
        <v>0</v>
      </c>
      <c r="W17">
        <f t="shared" si="11"/>
        <v>0</v>
      </c>
      <c r="X17">
        <f t="shared" si="12"/>
        <v>0</v>
      </c>
      <c r="Y17">
        <f t="shared" si="13"/>
        <v>0</v>
      </c>
      <c r="Z17">
        <f t="shared" si="14"/>
        <v>0</v>
      </c>
      <c r="AA17">
        <f t="shared" si="15"/>
        <v>0</v>
      </c>
      <c r="AB17">
        <f t="shared" si="16"/>
        <v>0</v>
      </c>
      <c r="AC17">
        <f t="shared" si="17"/>
        <v>0</v>
      </c>
      <c r="AD17">
        <f t="shared" si="18"/>
        <v>0</v>
      </c>
      <c r="AE17">
        <f t="shared" si="19"/>
        <v>0</v>
      </c>
      <c r="AF17">
        <f t="shared" si="20"/>
        <v>0</v>
      </c>
      <c r="AG17">
        <f t="shared" si="21"/>
        <v>0</v>
      </c>
      <c r="AH17">
        <f t="shared" si="22"/>
        <v>0</v>
      </c>
      <c r="AI17">
        <f t="shared" si="23"/>
        <v>0</v>
      </c>
      <c r="AJ17">
        <f t="shared" si="24"/>
        <v>0</v>
      </c>
      <c r="AK17">
        <f t="shared" si="25"/>
        <v>0</v>
      </c>
      <c r="AL17">
        <f t="shared" si="26"/>
        <v>0</v>
      </c>
    </row>
    <row r="18" spans="9:38" ht="12.75">
      <c r="I18" s="4">
        <f t="shared" si="0"/>
        <v>0</v>
      </c>
      <c r="J18" s="2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  <c r="R18">
        <f t="shared" si="6"/>
        <v>0</v>
      </c>
      <c r="S18">
        <f t="shared" si="7"/>
        <v>0</v>
      </c>
      <c r="T18">
        <f t="shared" si="8"/>
        <v>0</v>
      </c>
      <c r="U18">
        <f t="shared" si="9"/>
        <v>0</v>
      </c>
      <c r="V18">
        <f t="shared" si="10"/>
        <v>0</v>
      </c>
      <c r="W18">
        <f t="shared" si="11"/>
        <v>0</v>
      </c>
      <c r="X18">
        <f t="shared" si="12"/>
        <v>0</v>
      </c>
      <c r="Y18">
        <f t="shared" si="13"/>
        <v>0</v>
      </c>
      <c r="Z18">
        <f t="shared" si="14"/>
        <v>0</v>
      </c>
      <c r="AA18">
        <f t="shared" si="15"/>
        <v>0</v>
      </c>
      <c r="AB18">
        <f t="shared" si="16"/>
        <v>0</v>
      </c>
      <c r="AC18">
        <f t="shared" si="17"/>
        <v>0</v>
      </c>
      <c r="AD18">
        <f t="shared" si="18"/>
        <v>0</v>
      </c>
      <c r="AE18">
        <f t="shared" si="19"/>
        <v>0</v>
      </c>
      <c r="AF18">
        <f t="shared" si="20"/>
        <v>0</v>
      </c>
      <c r="AG18">
        <f t="shared" si="21"/>
        <v>0</v>
      </c>
      <c r="AH18">
        <f t="shared" si="22"/>
        <v>0</v>
      </c>
      <c r="AI18">
        <f t="shared" si="23"/>
        <v>0</v>
      </c>
      <c r="AJ18">
        <f t="shared" si="24"/>
        <v>0</v>
      </c>
      <c r="AK18">
        <f t="shared" si="25"/>
        <v>0</v>
      </c>
      <c r="AL18">
        <f t="shared" si="26"/>
        <v>0</v>
      </c>
    </row>
    <row r="19" spans="9:38" ht="12.75">
      <c r="I19" s="4">
        <f t="shared" si="0"/>
        <v>0</v>
      </c>
      <c r="J19" s="2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  <c r="R19">
        <f t="shared" si="6"/>
        <v>0</v>
      </c>
      <c r="S19">
        <f t="shared" si="7"/>
        <v>0</v>
      </c>
      <c r="T19">
        <f t="shared" si="8"/>
        <v>0</v>
      </c>
      <c r="U19">
        <f t="shared" si="9"/>
        <v>0</v>
      </c>
      <c r="V19">
        <f t="shared" si="10"/>
        <v>0</v>
      </c>
      <c r="W19">
        <f t="shared" si="11"/>
        <v>0</v>
      </c>
      <c r="X19">
        <f t="shared" si="12"/>
        <v>0</v>
      </c>
      <c r="Y19">
        <f t="shared" si="13"/>
        <v>0</v>
      </c>
      <c r="Z19">
        <f t="shared" si="14"/>
        <v>0</v>
      </c>
      <c r="AA19">
        <f t="shared" si="15"/>
        <v>0</v>
      </c>
      <c r="AB19">
        <f t="shared" si="16"/>
        <v>0</v>
      </c>
      <c r="AC19">
        <f t="shared" si="17"/>
        <v>0</v>
      </c>
      <c r="AD19">
        <f t="shared" si="18"/>
        <v>0</v>
      </c>
      <c r="AE19">
        <f t="shared" si="19"/>
        <v>0</v>
      </c>
      <c r="AF19">
        <f t="shared" si="20"/>
        <v>0</v>
      </c>
      <c r="AG19">
        <f t="shared" si="21"/>
        <v>0</v>
      </c>
      <c r="AH19">
        <f t="shared" si="22"/>
        <v>0</v>
      </c>
      <c r="AI19">
        <f t="shared" si="23"/>
        <v>0</v>
      </c>
      <c r="AJ19">
        <f t="shared" si="24"/>
        <v>0</v>
      </c>
      <c r="AK19">
        <f t="shared" si="25"/>
        <v>0</v>
      </c>
      <c r="AL19">
        <f t="shared" si="26"/>
        <v>0</v>
      </c>
    </row>
    <row r="20" spans="9:38" ht="12.75">
      <c r="I20" s="4">
        <f t="shared" si="0"/>
        <v>0</v>
      </c>
      <c r="J20" s="2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  <c r="R20">
        <f t="shared" si="6"/>
        <v>0</v>
      </c>
      <c r="S20">
        <f t="shared" si="7"/>
        <v>0</v>
      </c>
      <c r="T20">
        <f t="shared" si="8"/>
        <v>0</v>
      </c>
      <c r="U20">
        <f t="shared" si="9"/>
        <v>0</v>
      </c>
      <c r="V20">
        <f t="shared" si="10"/>
        <v>0</v>
      </c>
      <c r="W20">
        <f t="shared" si="11"/>
        <v>0</v>
      </c>
      <c r="X20">
        <f t="shared" si="12"/>
        <v>0</v>
      </c>
      <c r="Y20">
        <f t="shared" si="13"/>
        <v>0</v>
      </c>
      <c r="Z20">
        <f t="shared" si="14"/>
        <v>0</v>
      </c>
      <c r="AA20">
        <f t="shared" si="15"/>
        <v>0</v>
      </c>
      <c r="AB20">
        <f t="shared" si="16"/>
        <v>0</v>
      </c>
      <c r="AC20">
        <f t="shared" si="17"/>
        <v>0</v>
      </c>
      <c r="AD20">
        <f t="shared" si="18"/>
        <v>0</v>
      </c>
      <c r="AE20">
        <f t="shared" si="19"/>
        <v>0</v>
      </c>
      <c r="AF20">
        <f t="shared" si="20"/>
        <v>0</v>
      </c>
      <c r="AG20">
        <f t="shared" si="21"/>
        <v>0</v>
      </c>
      <c r="AH20">
        <f t="shared" si="22"/>
        <v>0</v>
      </c>
      <c r="AI20">
        <f t="shared" si="23"/>
        <v>0</v>
      </c>
      <c r="AJ20">
        <f t="shared" si="24"/>
        <v>0</v>
      </c>
      <c r="AK20">
        <f t="shared" si="25"/>
        <v>0</v>
      </c>
      <c r="AL20">
        <f t="shared" si="26"/>
        <v>0</v>
      </c>
    </row>
    <row r="21" spans="9:38" ht="12.75">
      <c r="I21" s="4">
        <f t="shared" si="0"/>
        <v>0</v>
      </c>
      <c r="J21" s="2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  <c r="R21">
        <f t="shared" si="6"/>
        <v>0</v>
      </c>
      <c r="S21">
        <f t="shared" si="7"/>
        <v>0</v>
      </c>
      <c r="T21">
        <f t="shared" si="8"/>
        <v>0</v>
      </c>
      <c r="U21">
        <f t="shared" si="9"/>
        <v>0</v>
      </c>
      <c r="V21">
        <f t="shared" si="10"/>
        <v>0</v>
      </c>
      <c r="W21">
        <f t="shared" si="11"/>
        <v>0</v>
      </c>
      <c r="X21">
        <f t="shared" si="12"/>
        <v>0</v>
      </c>
      <c r="Y21">
        <f t="shared" si="13"/>
        <v>0</v>
      </c>
      <c r="Z21">
        <f t="shared" si="14"/>
        <v>0</v>
      </c>
      <c r="AA21">
        <f t="shared" si="15"/>
        <v>0</v>
      </c>
      <c r="AB21">
        <f t="shared" si="16"/>
        <v>0</v>
      </c>
      <c r="AC21">
        <f t="shared" si="17"/>
        <v>0</v>
      </c>
      <c r="AD21">
        <f t="shared" si="18"/>
        <v>0</v>
      </c>
      <c r="AE21">
        <f t="shared" si="19"/>
        <v>0</v>
      </c>
      <c r="AF21">
        <f t="shared" si="20"/>
        <v>0</v>
      </c>
      <c r="AG21">
        <f t="shared" si="21"/>
        <v>0</v>
      </c>
      <c r="AH21">
        <f t="shared" si="22"/>
        <v>0</v>
      </c>
      <c r="AI21">
        <f t="shared" si="23"/>
        <v>0</v>
      </c>
      <c r="AJ21">
        <f t="shared" si="24"/>
        <v>0</v>
      </c>
      <c r="AK21">
        <f t="shared" si="25"/>
        <v>0</v>
      </c>
      <c r="AL21">
        <f t="shared" si="26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7"/>
  <sheetViews>
    <sheetView tabSelected="1" workbookViewId="0" topLeftCell="A1">
      <selection activeCell="M8" sqref="M8"/>
    </sheetView>
  </sheetViews>
  <sheetFormatPr defaultColWidth="9.140625" defaultRowHeight="12.75"/>
  <cols>
    <col min="1" max="1" width="16.421875" style="1" bestFit="1" customWidth="1"/>
    <col min="2" max="2" width="9.28125" style="1" bestFit="1" customWidth="1"/>
    <col min="3" max="4" width="4.28125" style="1" customWidth="1"/>
    <col min="5" max="8" width="7.57421875" style="3" bestFit="1" customWidth="1"/>
    <col min="9" max="9" width="6.8515625" style="4" bestFit="1" customWidth="1"/>
    <col min="10" max="11" width="6.28125" style="2" customWidth="1"/>
    <col min="12" max="13" width="6.140625" style="2" customWidth="1"/>
    <col min="14" max="14" width="3.00390625" style="0" customWidth="1"/>
    <col min="15" max="19" width="4.00390625" style="0" bestFit="1" customWidth="1"/>
    <col min="20" max="38" width="3.00390625" style="0" customWidth="1"/>
    <col min="39" max="16384" width="9.00390625" style="0" customWidth="1"/>
  </cols>
  <sheetData>
    <row r="1" spans="1:38" ht="25.5">
      <c r="A1" s="1" t="s">
        <v>53</v>
      </c>
      <c r="B1" s="1" t="s">
        <v>54</v>
      </c>
      <c r="C1" s="1" t="s">
        <v>0</v>
      </c>
      <c r="D1" s="1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6" t="s">
        <v>6</v>
      </c>
      <c r="J1" s="2" t="s">
        <v>7</v>
      </c>
      <c r="K1" s="7" t="s">
        <v>31</v>
      </c>
      <c r="L1" s="7" t="s">
        <v>9</v>
      </c>
      <c r="M1" s="7" t="s">
        <v>10</v>
      </c>
      <c r="N1" s="8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38</v>
      </c>
      <c r="Y1" s="9" t="s">
        <v>39</v>
      </c>
      <c r="Z1" s="9" t="s">
        <v>40</v>
      </c>
      <c r="AA1" s="9" t="s">
        <v>21</v>
      </c>
      <c r="AB1" s="9" t="s">
        <v>22</v>
      </c>
      <c r="AC1" s="9" t="s">
        <v>23</v>
      </c>
      <c r="AD1" s="9" t="s">
        <v>24</v>
      </c>
      <c r="AE1" s="9" t="s">
        <v>25</v>
      </c>
      <c r="AF1" s="9" t="s">
        <v>26</v>
      </c>
      <c r="AG1" s="9" t="s">
        <v>27</v>
      </c>
      <c r="AH1" s="9" t="s">
        <v>28</v>
      </c>
      <c r="AI1" s="9" t="s">
        <v>29</v>
      </c>
      <c r="AJ1" s="9" t="s">
        <v>35</v>
      </c>
      <c r="AK1" s="9" t="s">
        <v>36</v>
      </c>
      <c r="AL1" s="9" t="s">
        <v>37</v>
      </c>
    </row>
    <row r="2" spans="5:38" ht="12.75">
      <c r="E2" s="5"/>
      <c r="F2" s="5"/>
      <c r="G2" s="5"/>
      <c r="H2" s="5"/>
      <c r="I2" s="6"/>
      <c r="K2" s="7"/>
      <c r="L2" s="7"/>
      <c r="M2" s="7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2" ht="12.75">
      <c r="A3" s="1" t="s">
        <v>154</v>
      </c>
      <c r="B3" s="1" t="s">
        <v>146</v>
      </c>
      <c r="C3" s="1" t="s">
        <v>32</v>
      </c>
      <c r="D3" s="1">
        <v>30</v>
      </c>
      <c r="I3" s="17"/>
      <c r="K3" s="2">
        <v>460</v>
      </c>
      <c r="L3" s="2">
        <f aca="true" t="shared" si="0" ref="L3:L37">SUM(J3+K3)</f>
        <v>460</v>
      </c>
    </row>
    <row r="4" spans="1:38" ht="12.75">
      <c r="A4" s="1" t="s">
        <v>139</v>
      </c>
      <c r="B4" s="1" t="s">
        <v>146</v>
      </c>
      <c r="C4" s="1" t="s">
        <v>32</v>
      </c>
      <c r="D4" s="1">
        <v>25</v>
      </c>
      <c r="I4" s="17"/>
      <c r="J4" s="2">
        <f aca="true" t="shared" si="1" ref="J4:J37">SUM(O4:AL4)</f>
        <v>0</v>
      </c>
      <c r="K4" s="2">
        <v>603</v>
      </c>
      <c r="L4" s="2">
        <f t="shared" si="0"/>
        <v>603</v>
      </c>
      <c r="N4">
        <f aca="true" t="shared" si="2" ref="N4:N37">SUM((INT(I4/10000)*12)+((I4-((INT(I4/10000)*12)/12*10000))/100))</f>
        <v>0</v>
      </c>
      <c r="O4">
        <f aca="true" t="shared" si="3" ref="O4:O37">IF(AND(C4="M",D4=25),INT(N4/92*1000),0)</f>
        <v>0</v>
      </c>
      <c r="P4">
        <f aca="true" t="shared" si="4" ref="P4:P37">IF(AND(C4="M",D4=30),INT(N4/88*1000),0)</f>
        <v>0</v>
      </c>
      <c r="Q4">
        <f aca="true" t="shared" si="5" ref="Q4:Q37">IF(AND(C4="M",D4=35),INT(N4/83*1000),0)</f>
        <v>0</v>
      </c>
      <c r="R4">
        <f aca="true" t="shared" si="6" ref="R4:R37">IF(AND(C4="M",D4=40),INT(N4/78*1000),0)</f>
        <v>0</v>
      </c>
      <c r="S4">
        <f aca="true" t="shared" si="7" ref="S4:S37">IF(AND(C4="M",D4=45),INT(N4/74*1000),0)</f>
        <v>0</v>
      </c>
      <c r="T4">
        <f aca="true" t="shared" si="8" ref="T4:T37">IF(AND(C4="M",D4=50),INT(N4/69*1000),0)</f>
        <v>0</v>
      </c>
      <c r="U4">
        <f aca="true" t="shared" si="9" ref="U4:U37">IF(AND(C4="M",D4=55),INT(N4/65*1000),0)</f>
        <v>0</v>
      </c>
      <c r="V4">
        <f aca="true" t="shared" si="10" ref="V4:V37">IF(AND(C4="M",D4=60),INT(N4/60*1000),0)</f>
        <v>0</v>
      </c>
      <c r="W4">
        <f aca="true" t="shared" si="11" ref="W4:W37">IF(AND(C4="M",D4=65),INT(N4/56*1000),0)</f>
        <v>0</v>
      </c>
      <c r="X4">
        <f aca="true" t="shared" si="12" ref="X4:X37">IF(AND(C4="M",D4=70),INT(N4/54*1000),0)</f>
        <v>0</v>
      </c>
      <c r="Y4">
        <f aca="true" t="shared" si="13" ref="Y4:Y37">IF(AND(C4="M",D4=75),INT(N4/52*1000),0)</f>
        <v>0</v>
      </c>
      <c r="Z4">
        <f aca="true" t="shared" si="14" ref="Z4:Z37">IF(AND(C4="M",D4=80),INT(N4/48.25*1000),0)</f>
        <v>0</v>
      </c>
      <c r="AA4">
        <f aca="true" t="shared" si="15" ref="AA4:AA37">IF(AND(C4="F",D4=25),INT(N4/79*1000),0)</f>
        <v>0</v>
      </c>
      <c r="AB4">
        <f aca="true" t="shared" si="16" ref="AB4:AB37">IF(AND(C4="F",D4=30),INT(N4/75*1000),0)</f>
        <v>0</v>
      </c>
      <c r="AC4">
        <f aca="true" t="shared" si="17" ref="AC4:AC37">IF(AND(C4="F",D4=35),INT(N4/70*1000),0)</f>
        <v>0</v>
      </c>
      <c r="AD4">
        <f aca="true" t="shared" si="18" ref="AD4:AD37">IF(AND(C4="F",D4=40),INT(N4/66*1000),0)</f>
        <v>0</v>
      </c>
      <c r="AE4">
        <f aca="true" t="shared" si="19" ref="AE4:AE37">IF(AND(C4="F",D4=45),INT(N4/62*1000),0)</f>
        <v>0</v>
      </c>
      <c r="AF4">
        <f aca="true" t="shared" si="20" ref="AF4:AF37">IF(AND(C4="F",D4=50),INT(N4/57*1000),0)</f>
        <v>0</v>
      </c>
      <c r="AG4">
        <f aca="true" t="shared" si="21" ref="AG4:AG37">IF(AND(C4="F",D4=55),INT(N4/53*1000),0)</f>
        <v>0</v>
      </c>
      <c r="AH4">
        <f aca="true" t="shared" si="22" ref="AH4:AH37">IF(AND(C4="F",D4=60),INT(N4/48*1000),0)</f>
        <v>0</v>
      </c>
      <c r="AI4">
        <f aca="true" t="shared" si="23" ref="AI4:AI37">IF(AND(C4="F",D4=65),INT(N4/44*1000),0)</f>
        <v>0</v>
      </c>
      <c r="AJ4">
        <f aca="true" t="shared" si="24" ref="AJ4:AJ37">IF(AND(C4="F",D4=70),INT(N4/42.75*1000),0)</f>
        <v>0</v>
      </c>
      <c r="AK4">
        <f aca="true" t="shared" si="25" ref="AK4:AK37">IF(AND(C4="F",D4=75),INT(N4/41.25*1000),0)</f>
        <v>0</v>
      </c>
      <c r="AL4">
        <f aca="true" t="shared" si="26" ref="AL4:AL37">IF(AND(C4="F",D4=80),INT(N4/35.5*1000),0)</f>
        <v>0</v>
      </c>
    </row>
    <row r="5" spans="1:38" ht="12.75">
      <c r="A5" s="1" t="s">
        <v>142</v>
      </c>
      <c r="B5" s="1" t="s">
        <v>146</v>
      </c>
      <c r="C5" s="1" t="s">
        <v>32</v>
      </c>
      <c r="D5" s="1">
        <v>30</v>
      </c>
      <c r="I5" s="17">
        <v>40800</v>
      </c>
      <c r="J5" s="2">
        <f t="shared" si="1"/>
        <v>636</v>
      </c>
      <c r="K5" s="2">
        <v>0</v>
      </c>
      <c r="L5" s="2">
        <f t="shared" si="0"/>
        <v>636</v>
      </c>
      <c r="N5">
        <f t="shared" si="2"/>
        <v>56</v>
      </c>
      <c r="O5">
        <f t="shared" si="3"/>
        <v>0</v>
      </c>
      <c r="P5">
        <f t="shared" si="4"/>
        <v>636</v>
      </c>
      <c r="Q5">
        <f t="shared" si="5"/>
        <v>0</v>
      </c>
      <c r="R5">
        <f t="shared" si="6"/>
        <v>0</v>
      </c>
      <c r="S5">
        <f t="shared" si="7"/>
        <v>0</v>
      </c>
      <c r="T5">
        <f t="shared" si="8"/>
        <v>0</v>
      </c>
      <c r="U5">
        <f t="shared" si="9"/>
        <v>0</v>
      </c>
      <c r="V5">
        <f t="shared" si="10"/>
        <v>0</v>
      </c>
      <c r="W5">
        <f t="shared" si="11"/>
        <v>0</v>
      </c>
      <c r="X5">
        <f t="shared" si="12"/>
        <v>0</v>
      </c>
      <c r="Y5">
        <f t="shared" si="13"/>
        <v>0</v>
      </c>
      <c r="Z5">
        <f t="shared" si="14"/>
        <v>0</v>
      </c>
      <c r="AA5">
        <f t="shared" si="15"/>
        <v>0</v>
      </c>
      <c r="AB5">
        <f t="shared" si="16"/>
        <v>0</v>
      </c>
      <c r="AC5">
        <f t="shared" si="17"/>
        <v>0</v>
      </c>
      <c r="AD5">
        <f t="shared" si="18"/>
        <v>0</v>
      </c>
      <c r="AE5">
        <f t="shared" si="19"/>
        <v>0</v>
      </c>
      <c r="AF5">
        <f t="shared" si="20"/>
        <v>0</v>
      </c>
      <c r="AG5">
        <f t="shared" si="21"/>
        <v>0</v>
      </c>
      <c r="AH5">
        <f t="shared" si="22"/>
        <v>0</v>
      </c>
      <c r="AI5">
        <f t="shared" si="23"/>
        <v>0</v>
      </c>
      <c r="AJ5">
        <f t="shared" si="24"/>
        <v>0</v>
      </c>
      <c r="AK5">
        <f t="shared" si="25"/>
        <v>0</v>
      </c>
      <c r="AL5">
        <f t="shared" si="26"/>
        <v>0</v>
      </c>
    </row>
    <row r="6" spans="1:38" ht="12.75">
      <c r="A6" s="1" t="s">
        <v>144</v>
      </c>
      <c r="B6" s="1" t="s">
        <v>146</v>
      </c>
      <c r="C6" s="1" t="s">
        <v>32</v>
      </c>
      <c r="D6" s="1">
        <v>40</v>
      </c>
      <c r="I6" s="18"/>
      <c r="J6" s="2">
        <f t="shared" si="1"/>
        <v>0</v>
      </c>
      <c r="K6" s="2">
        <v>0</v>
      </c>
      <c r="L6" s="2">
        <f t="shared" si="0"/>
        <v>0</v>
      </c>
      <c r="N6">
        <f t="shared" si="2"/>
        <v>0</v>
      </c>
      <c r="O6">
        <f t="shared" si="3"/>
        <v>0</v>
      </c>
      <c r="P6">
        <f t="shared" si="4"/>
        <v>0</v>
      </c>
      <c r="Q6">
        <f t="shared" si="5"/>
        <v>0</v>
      </c>
      <c r="R6">
        <f t="shared" si="6"/>
        <v>0</v>
      </c>
      <c r="S6">
        <f t="shared" si="7"/>
        <v>0</v>
      </c>
      <c r="T6">
        <f t="shared" si="8"/>
        <v>0</v>
      </c>
      <c r="U6">
        <f t="shared" si="9"/>
        <v>0</v>
      </c>
      <c r="V6">
        <f t="shared" si="10"/>
        <v>0</v>
      </c>
      <c r="W6">
        <f t="shared" si="11"/>
        <v>0</v>
      </c>
      <c r="X6">
        <f t="shared" si="12"/>
        <v>0</v>
      </c>
      <c r="Y6">
        <f t="shared" si="13"/>
        <v>0</v>
      </c>
      <c r="Z6">
        <f t="shared" si="14"/>
        <v>0</v>
      </c>
      <c r="AA6">
        <f t="shared" si="15"/>
        <v>0</v>
      </c>
      <c r="AB6">
        <f t="shared" si="16"/>
        <v>0</v>
      </c>
      <c r="AC6">
        <f t="shared" si="17"/>
        <v>0</v>
      </c>
      <c r="AD6">
        <f t="shared" si="18"/>
        <v>0</v>
      </c>
      <c r="AE6">
        <f t="shared" si="19"/>
        <v>0</v>
      </c>
      <c r="AF6">
        <f t="shared" si="20"/>
        <v>0</v>
      </c>
      <c r="AG6">
        <f t="shared" si="21"/>
        <v>0</v>
      </c>
      <c r="AH6">
        <f t="shared" si="22"/>
        <v>0</v>
      </c>
      <c r="AI6">
        <f t="shared" si="23"/>
        <v>0</v>
      </c>
      <c r="AJ6">
        <f t="shared" si="24"/>
        <v>0</v>
      </c>
      <c r="AK6">
        <f t="shared" si="25"/>
        <v>0</v>
      </c>
      <c r="AL6">
        <f t="shared" si="26"/>
        <v>0</v>
      </c>
    </row>
    <row r="7" spans="1:38" ht="12.75">
      <c r="A7" s="1" t="s">
        <v>130</v>
      </c>
      <c r="B7" s="1" t="s">
        <v>146</v>
      </c>
      <c r="C7" s="1" t="s">
        <v>32</v>
      </c>
      <c r="D7" s="1">
        <v>35</v>
      </c>
      <c r="I7" s="17">
        <v>50600</v>
      </c>
      <c r="J7" s="2">
        <f t="shared" si="1"/>
        <v>795</v>
      </c>
      <c r="K7" s="2">
        <v>645</v>
      </c>
      <c r="L7" s="2">
        <f t="shared" si="0"/>
        <v>1440</v>
      </c>
      <c r="N7">
        <f t="shared" si="2"/>
        <v>66</v>
      </c>
      <c r="O7">
        <f t="shared" si="3"/>
        <v>0</v>
      </c>
      <c r="P7">
        <f t="shared" si="4"/>
        <v>0</v>
      </c>
      <c r="Q7">
        <f t="shared" si="5"/>
        <v>795</v>
      </c>
      <c r="R7">
        <f t="shared" si="6"/>
        <v>0</v>
      </c>
      <c r="S7">
        <f t="shared" si="7"/>
        <v>0</v>
      </c>
      <c r="T7">
        <f t="shared" si="8"/>
        <v>0</v>
      </c>
      <c r="U7">
        <f t="shared" si="9"/>
        <v>0</v>
      </c>
      <c r="V7">
        <f t="shared" si="10"/>
        <v>0</v>
      </c>
      <c r="W7">
        <f t="shared" si="11"/>
        <v>0</v>
      </c>
      <c r="X7">
        <f t="shared" si="12"/>
        <v>0</v>
      </c>
      <c r="Y7">
        <f t="shared" si="13"/>
        <v>0</v>
      </c>
      <c r="Z7">
        <f t="shared" si="14"/>
        <v>0</v>
      </c>
      <c r="AA7">
        <f t="shared" si="15"/>
        <v>0</v>
      </c>
      <c r="AB7">
        <f t="shared" si="16"/>
        <v>0</v>
      </c>
      <c r="AC7">
        <f t="shared" si="17"/>
        <v>0</v>
      </c>
      <c r="AD7">
        <f t="shared" si="18"/>
        <v>0</v>
      </c>
      <c r="AE7">
        <f t="shared" si="19"/>
        <v>0</v>
      </c>
      <c r="AF7">
        <f t="shared" si="20"/>
        <v>0</v>
      </c>
      <c r="AG7">
        <f t="shared" si="21"/>
        <v>0</v>
      </c>
      <c r="AH7">
        <f t="shared" si="22"/>
        <v>0</v>
      </c>
      <c r="AI7">
        <f t="shared" si="23"/>
        <v>0</v>
      </c>
      <c r="AJ7">
        <f t="shared" si="24"/>
        <v>0</v>
      </c>
      <c r="AK7">
        <f t="shared" si="25"/>
        <v>0</v>
      </c>
      <c r="AL7">
        <f t="shared" si="26"/>
        <v>0</v>
      </c>
    </row>
    <row r="8" spans="9:13" ht="12.75">
      <c r="I8" s="17"/>
      <c r="M8" s="19">
        <f>J5+J7+K4+K7</f>
        <v>2679</v>
      </c>
    </row>
    <row r="9" ht="12.75">
      <c r="I9" s="17"/>
    </row>
    <row r="10" spans="1:12" ht="12.75">
      <c r="A10" s="1" t="s">
        <v>155</v>
      </c>
      <c r="B10" s="1" t="s">
        <v>147</v>
      </c>
      <c r="C10" s="1" t="s">
        <v>41</v>
      </c>
      <c r="D10" s="1">
        <v>30</v>
      </c>
      <c r="I10" s="17"/>
      <c r="K10" s="2">
        <v>557</v>
      </c>
      <c r="L10" s="2">
        <f t="shared" si="0"/>
        <v>557</v>
      </c>
    </row>
    <row r="11" spans="1:12" ht="12.75">
      <c r="A11" s="1" t="s">
        <v>141</v>
      </c>
      <c r="B11" s="1" t="s">
        <v>147</v>
      </c>
      <c r="C11" s="1" t="s">
        <v>32</v>
      </c>
      <c r="D11" s="1">
        <v>35</v>
      </c>
      <c r="I11" s="17"/>
      <c r="K11" s="2">
        <v>436</v>
      </c>
      <c r="L11" s="2">
        <f t="shared" si="0"/>
        <v>436</v>
      </c>
    </row>
    <row r="12" spans="1:12" ht="12.75">
      <c r="A12" s="1" t="s">
        <v>140</v>
      </c>
      <c r="B12" s="1" t="s">
        <v>147</v>
      </c>
      <c r="C12" s="1" t="s">
        <v>41</v>
      </c>
      <c r="D12" s="1">
        <v>35</v>
      </c>
      <c r="I12" s="17"/>
      <c r="L12" s="2">
        <f t="shared" si="0"/>
        <v>0</v>
      </c>
    </row>
    <row r="13" spans="1:38" ht="12.75">
      <c r="A13" s="1" t="s">
        <v>145</v>
      </c>
      <c r="B13" s="1" t="s">
        <v>147</v>
      </c>
      <c r="C13" s="1" t="s">
        <v>32</v>
      </c>
      <c r="D13" s="1">
        <v>40</v>
      </c>
      <c r="I13" s="8"/>
      <c r="J13" s="2">
        <f t="shared" si="1"/>
        <v>0</v>
      </c>
      <c r="K13" s="2">
        <v>0</v>
      </c>
      <c r="L13" s="2">
        <f t="shared" si="0"/>
        <v>0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0</v>
      </c>
      <c r="T13">
        <f t="shared" si="8"/>
        <v>0</v>
      </c>
      <c r="U13">
        <f t="shared" si="9"/>
        <v>0</v>
      </c>
      <c r="V13">
        <f t="shared" si="10"/>
        <v>0</v>
      </c>
      <c r="W13">
        <f t="shared" si="11"/>
        <v>0</v>
      </c>
      <c r="X13">
        <f t="shared" si="12"/>
        <v>0</v>
      </c>
      <c r="Y13">
        <f t="shared" si="13"/>
        <v>0</v>
      </c>
      <c r="Z13">
        <f t="shared" si="14"/>
        <v>0</v>
      </c>
      <c r="AA13">
        <f t="shared" si="15"/>
        <v>0</v>
      </c>
      <c r="AB13">
        <f t="shared" si="16"/>
        <v>0</v>
      </c>
      <c r="AC13">
        <f t="shared" si="17"/>
        <v>0</v>
      </c>
      <c r="AD13">
        <f t="shared" si="18"/>
        <v>0</v>
      </c>
      <c r="AE13">
        <f t="shared" si="19"/>
        <v>0</v>
      </c>
      <c r="AF13">
        <f t="shared" si="20"/>
        <v>0</v>
      </c>
      <c r="AG13">
        <f t="shared" si="21"/>
        <v>0</v>
      </c>
      <c r="AH13">
        <f t="shared" si="22"/>
        <v>0</v>
      </c>
      <c r="AI13">
        <f t="shared" si="23"/>
        <v>0</v>
      </c>
      <c r="AJ13">
        <f t="shared" si="24"/>
        <v>0</v>
      </c>
      <c r="AK13">
        <f t="shared" si="25"/>
        <v>0</v>
      </c>
      <c r="AL13">
        <f t="shared" si="26"/>
        <v>0</v>
      </c>
    </row>
    <row r="14" spans="9:13" ht="12.75">
      <c r="I14" s="8"/>
      <c r="M14" s="19">
        <f>L10+L11</f>
        <v>993</v>
      </c>
    </row>
    <row r="15" ht="12.75">
      <c r="I15" s="8"/>
    </row>
    <row r="16" spans="1:38" ht="12.75">
      <c r="A16" s="1" t="s">
        <v>94</v>
      </c>
      <c r="B16" s="1" t="s">
        <v>93</v>
      </c>
      <c r="C16" s="1" t="s">
        <v>41</v>
      </c>
      <c r="D16" s="1">
        <v>40</v>
      </c>
      <c r="I16" s="18"/>
      <c r="J16" s="2">
        <f t="shared" si="1"/>
        <v>0</v>
      </c>
      <c r="K16" s="2">
        <v>0</v>
      </c>
      <c r="L16" s="2">
        <f t="shared" si="0"/>
        <v>0</v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0</v>
      </c>
      <c r="R16">
        <f t="shared" si="6"/>
        <v>0</v>
      </c>
      <c r="S16">
        <f t="shared" si="7"/>
        <v>0</v>
      </c>
      <c r="T16">
        <f t="shared" si="8"/>
        <v>0</v>
      </c>
      <c r="U16">
        <f t="shared" si="9"/>
        <v>0</v>
      </c>
      <c r="V16">
        <f t="shared" si="10"/>
        <v>0</v>
      </c>
      <c r="W16">
        <f t="shared" si="11"/>
        <v>0</v>
      </c>
      <c r="X16">
        <f t="shared" si="12"/>
        <v>0</v>
      </c>
      <c r="Y16">
        <f t="shared" si="13"/>
        <v>0</v>
      </c>
      <c r="Z16">
        <f t="shared" si="14"/>
        <v>0</v>
      </c>
      <c r="AA16">
        <f t="shared" si="15"/>
        <v>0</v>
      </c>
      <c r="AB16">
        <f t="shared" si="16"/>
        <v>0</v>
      </c>
      <c r="AC16">
        <f t="shared" si="17"/>
        <v>0</v>
      </c>
      <c r="AD16">
        <f t="shared" si="18"/>
        <v>0</v>
      </c>
      <c r="AE16">
        <f t="shared" si="19"/>
        <v>0</v>
      </c>
      <c r="AF16">
        <f t="shared" si="20"/>
        <v>0</v>
      </c>
      <c r="AG16">
        <f t="shared" si="21"/>
        <v>0</v>
      </c>
      <c r="AH16">
        <f t="shared" si="22"/>
        <v>0</v>
      </c>
      <c r="AI16">
        <f t="shared" si="23"/>
        <v>0</v>
      </c>
      <c r="AJ16">
        <f t="shared" si="24"/>
        <v>0</v>
      </c>
      <c r="AK16">
        <f t="shared" si="25"/>
        <v>0</v>
      </c>
      <c r="AL16">
        <f t="shared" si="26"/>
        <v>0</v>
      </c>
    </row>
    <row r="17" spans="1:38" ht="12.75">
      <c r="A17" s="1" t="s">
        <v>125</v>
      </c>
      <c r="B17" s="1" t="s">
        <v>93</v>
      </c>
      <c r="C17" s="1" t="s">
        <v>32</v>
      </c>
      <c r="D17" s="1">
        <v>55</v>
      </c>
      <c r="I17" s="18"/>
      <c r="J17" s="2">
        <f t="shared" si="1"/>
        <v>0</v>
      </c>
      <c r="K17" s="2">
        <v>0</v>
      </c>
      <c r="L17" s="2">
        <f t="shared" si="0"/>
        <v>0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  <c r="R17">
        <f t="shared" si="6"/>
        <v>0</v>
      </c>
      <c r="S17">
        <f t="shared" si="7"/>
        <v>0</v>
      </c>
      <c r="T17">
        <f t="shared" si="8"/>
        <v>0</v>
      </c>
      <c r="U17">
        <f t="shared" si="9"/>
        <v>0</v>
      </c>
      <c r="V17">
        <f t="shared" si="10"/>
        <v>0</v>
      </c>
      <c r="W17">
        <f t="shared" si="11"/>
        <v>0</v>
      </c>
      <c r="X17">
        <f t="shared" si="12"/>
        <v>0</v>
      </c>
      <c r="Y17">
        <f t="shared" si="13"/>
        <v>0</v>
      </c>
      <c r="Z17">
        <f t="shared" si="14"/>
        <v>0</v>
      </c>
      <c r="AA17">
        <f t="shared" si="15"/>
        <v>0</v>
      </c>
      <c r="AB17">
        <f t="shared" si="16"/>
        <v>0</v>
      </c>
      <c r="AC17">
        <f t="shared" si="17"/>
        <v>0</v>
      </c>
      <c r="AD17">
        <f t="shared" si="18"/>
        <v>0</v>
      </c>
      <c r="AE17">
        <f t="shared" si="19"/>
        <v>0</v>
      </c>
      <c r="AF17">
        <f t="shared" si="20"/>
        <v>0</v>
      </c>
      <c r="AG17">
        <f t="shared" si="21"/>
        <v>0</v>
      </c>
      <c r="AH17">
        <f t="shared" si="22"/>
        <v>0</v>
      </c>
      <c r="AI17">
        <f t="shared" si="23"/>
        <v>0</v>
      </c>
      <c r="AJ17">
        <f t="shared" si="24"/>
        <v>0</v>
      </c>
      <c r="AK17">
        <f t="shared" si="25"/>
        <v>0</v>
      </c>
      <c r="AL17">
        <f t="shared" si="26"/>
        <v>0</v>
      </c>
    </row>
    <row r="18" ht="12.75">
      <c r="I18" s="18"/>
    </row>
    <row r="19" ht="12.75">
      <c r="I19" s="18"/>
    </row>
    <row r="20" spans="1:38" ht="12.75">
      <c r="A20" s="1" t="s">
        <v>102</v>
      </c>
      <c r="B20" s="1" t="s">
        <v>51</v>
      </c>
      <c r="C20" s="1" t="s">
        <v>32</v>
      </c>
      <c r="D20" s="1">
        <v>45</v>
      </c>
      <c r="I20" s="15">
        <v>30000</v>
      </c>
      <c r="J20" s="2">
        <f t="shared" si="1"/>
        <v>486</v>
      </c>
      <c r="K20" s="2">
        <v>575</v>
      </c>
      <c r="L20" s="2">
        <f t="shared" si="0"/>
        <v>1061</v>
      </c>
      <c r="N20">
        <f t="shared" si="2"/>
        <v>36</v>
      </c>
      <c r="O20">
        <f t="shared" si="3"/>
        <v>0</v>
      </c>
      <c r="P20">
        <f t="shared" si="4"/>
        <v>0</v>
      </c>
      <c r="Q20">
        <f t="shared" si="5"/>
        <v>0</v>
      </c>
      <c r="R20">
        <f t="shared" si="6"/>
        <v>0</v>
      </c>
      <c r="S20">
        <f t="shared" si="7"/>
        <v>486</v>
      </c>
      <c r="T20">
        <f t="shared" si="8"/>
        <v>0</v>
      </c>
      <c r="U20">
        <f t="shared" si="9"/>
        <v>0</v>
      </c>
      <c r="V20">
        <f t="shared" si="10"/>
        <v>0</v>
      </c>
      <c r="W20">
        <f t="shared" si="11"/>
        <v>0</v>
      </c>
      <c r="X20">
        <f t="shared" si="12"/>
        <v>0</v>
      </c>
      <c r="Y20">
        <f t="shared" si="13"/>
        <v>0</v>
      </c>
      <c r="Z20">
        <f t="shared" si="14"/>
        <v>0</v>
      </c>
      <c r="AA20">
        <f t="shared" si="15"/>
        <v>0</v>
      </c>
      <c r="AB20">
        <f t="shared" si="16"/>
        <v>0</v>
      </c>
      <c r="AC20">
        <f t="shared" si="17"/>
        <v>0</v>
      </c>
      <c r="AD20">
        <f t="shared" si="18"/>
        <v>0</v>
      </c>
      <c r="AE20">
        <f t="shared" si="19"/>
        <v>0</v>
      </c>
      <c r="AF20">
        <f t="shared" si="20"/>
        <v>0</v>
      </c>
      <c r="AG20">
        <f t="shared" si="21"/>
        <v>0</v>
      </c>
      <c r="AH20">
        <f t="shared" si="22"/>
        <v>0</v>
      </c>
      <c r="AI20">
        <f t="shared" si="23"/>
        <v>0</v>
      </c>
      <c r="AJ20">
        <f t="shared" si="24"/>
        <v>0</v>
      </c>
      <c r="AK20">
        <f t="shared" si="25"/>
        <v>0</v>
      </c>
      <c r="AL20">
        <f t="shared" si="26"/>
        <v>0</v>
      </c>
    </row>
    <row r="21" spans="1:38" ht="12.75">
      <c r="A21" s="1" t="s">
        <v>106</v>
      </c>
      <c r="B21" s="1" t="s">
        <v>51</v>
      </c>
      <c r="C21" s="1" t="s">
        <v>32</v>
      </c>
      <c r="D21" s="1">
        <v>25</v>
      </c>
      <c r="I21" s="17">
        <v>51000</v>
      </c>
      <c r="J21" s="2">
        <f>SUM(O21:AL21)</f>
        <v>760</v>
      </c>
      <c r="K21" s="2">
        <v>628</v>
      </c>
      <c r="L21" s="2">
        <f>SUM(J21+K21)</f>
        <v>1388</v>
      </c>
      <c r="N21">
        <f>SUM((INT(I21/10000)*12)+((I21-((INT(I21/10000)*12)/12*10000))/100))</f>
        <v>70</v>
      </c>
      <c r="O21">
        <f>IF(AND(C21="M",D21=25),INT(N21/92*1000),0)</f>
        <v>760</v>
      </c>
      <c r="P21">
        <f>IF(AND(C21="M",D21=30),INT(N21/88*1000),0)</f>
        <v>0</v>
      </c>
      <c r="Q21">
        <f>IF(AND(C21="M",D21=35),INT(N21/83*1000),0)</f>
        <v>0</v>
      </c>
      <c r="R21">
        <f>IF(AND(C21="M",D21=40),INT(N21/78*1000),0)</f>
        <v>0</v>
      </c>
      <c r="S21">
        <f>IF(AND(C21="M",D21=45),INT(N21/74*1000),0)</f>
        <v>0</v>
      </c>
      <c r="T21">
        <f>IF(AND(C21="M",D21=50),INT(N21/69*1000),0)</f>
        <v>0</v>
      </c>
      <c r="U21">
        <f>IF(AND(C21="M",D21=55),INT(N21/65*1000),0)</f>
        <v>0</v>
      </c>
      <c r="V21">
        <f>IF(AND(C21="M",D21=60),INT(N21/60*1000),0)</f>
        <v>0</v>
      </c>
      <c r="W21">
        <f>IF(AND(C21="M",D21=65),INT(N21/56*1000),0)</f>
        <v>0</v>
      </c>
      <c r="X21">
        <f t="shared" si="12"/>
        <v>0</v>
      </c>
      <c r="Y21">
        <f t="shared" si="13"/>
        <v>0</v>
      </c>
      <c r="Z21">
        <f t="shared" si="14"/>
        <v>0</v>
      </c>
      <c r="AA21">
        <f>IF(AND(C21="F",D21=25),INT(N21/79*1000),0)</f>
        <v>0</v>
      </c>
      <c r="AB21">
        <f>IF(AND(C21="F",D21=30),INT(N21/75*1000),0)</f>
        <v>0</v>
      </c>
      <c r="AC21">
        <f>IF(AND(C21="F",D21=35),INT(N21/70*1000),0)</f>
        <v>0</v>
      </c>
      <c r="AD21">
        <f>IF(AND(C21="F",D21=40),INT(N21/66*1000),0)</f>
        <v>0</v>
      </c>
      <c r="AE21">
        <f>IF(AND(C21="F",D21=45),INT(N21/62*1000),0)</f>
        <v>0</v>
      </c>
      <c r="AF21">
        <f>IF(AND(C21="F",D21=50),INT(N21/57*1000),0)</f>
        <v>0</v>
      </c>
      <c r="AG21">
        <f>IF(AND(C21="F",D21=55),INT(N21/53*1000),0)</f>
        <v>0</v>
      </c>
      <c r="AH21">
        <f>IF(AND(C21="F",D21=60),INT(N21/48*1000),0)</f>
        <v>0</v>
      </c>
      <c r="AI21">
        <f t="shared" si="23"/>
        <v>0</v>
      </c>
      <c r="AJ21">
        <f t="shared" si="24"/>
        <v>0</v>
      </c>
      <c r="AK21">
        <f t="shared" si="25"/>
        <v>0</v>
      </c>
      <c r="AL21">
        <f t="shared" si="26"/>
        <v>0</v>
      </c>
    </row>
    <row r="22" spans="1:38" ht="12.75">
      <c r="A22" s="1" t="s">
        <v>156</v>
      </c>
      <c r="B22" s="1" t="s">
        <v>51</v>
      </c>
      <c r="C22" s="1" t="s">
        <v>41</v>
      </c>
      <c r="D22" s="1">
        <v>70</v>
      </c>
      <c r="J22" s="2">
        <f t="shared" si="1"/>
        <v>0</v>
      </c>
      <c r="K22" s="2">
        <v>744</v>
      </c>
      <c r="L22" s="2">
        <f t="shared" si="0"/>
        <v>744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  <c r="R22">
        <f t="shared" si="6"/>
        <v>0</v>
      </c>
      <c r="S22">
        <f t="shared" si="7"/>
        <v>0</v>
      </c>
      <c r="T22">
        <f t="shared" si="8"/>
        <v>0</v>
      </c>
      <c r="U22">
        <f t="shared" si="9"/>
        <v>0</v>
      </c>
      <c r="V22">
        <f t="shared" si="10"/>
        <v>0</v>
      </c>
      <c r="W22">
        <f t="shared" si="11"/>
        <v>0</v>
      </c>
      <c r="X22">
        <f t="shared" si="12"/>
        <v>0</v>
      </c>
      <c r="Y22">
        <f t="shared" si="13"/>
        <v>0</v>
      </c>
      <c r="Z22">
        <f t="shared" si="14"/>
        <v>0</v>
      </c>
      <c r="AA22">
        <f t="shared" si="15"/>
        <v>0</v>
      </c>
      <c r="AB22">
        <f t="shared" si="16"/>
        <v>0</v>
      </c>
      <c r="AC22">
        <f t="shared" si="17"/>
        <v>0</v>
      </c>
      <c r="AD22">
        <f t="shared" si="18"/>
        <v>0</v>
      </c>
      <c r="AE22">
        <f t="shared" si="19"/>
        <v>0</v>
      </c>
      <c r="AF22">
        <f t="shared" si="20"/>
        <v>0</v>
      </c>
      <c r="AG22">
        <f t="shared" si="21"/>
        <v>0</v>
      </c>
      <c r="AH22">
        <f t="shared" si="22"/>
        <v>0</v>
      </c>
      <c r="AI22">
        <f t="shared" si="23"/>
        <v>0</v>
      </c>
      <c r="AJ22">
        <f t="shared" si="24"/>
        <v>0</v>
      </c>
      <c r="AK22">
        <f t="shared" si="25"/>
        <v>0</v>
      </c>
      <c r="AL22">
        <f t="shared" si="26"/>
        <v>0</v>
      </c>
    </row>
    <row r="23" spans="1:38" ht="12.75">
      <c r="A23" s="1" t="s">
        <v>107</v>
      </c>
      <c r="B23" s="1" t="s">
        <v>51</v>
      </c>
      <c r="C23" s="1" t="s">
        <v>32</v>
      </c>
      <c r="D23" s="1">
        <v>25</v>
      </c>
      <c r="I23" s="17"/>
      <c r="J23" s="2">
        <f>SUM(O23:AL23)</f>
        <v>0</v>
      </c>
      <c r="K23" s="2">
        <v>0</v>
      </c>
      <c r="L23" s="2">
        <f>SUM(J23+K23)</f>
        <v>0</v>
      </c>
      <c r="N23">
        <f>SUM((INT(I23/10000)*12)+((I23-((INT(I23/10000)*12)/12*10000))/100))</f>
        <v>0</v>
      </c>
      <c r="O23">
        <f>IF(AND(C23="M",D23=25),INT(N23/92*1000),0)</f>
        <v>0</v>
      </c>
      <c r="P23">
        <f>IF(AND(C23="M",D23=30),INT(N23/88*1000),0)</f>
        <v>0</v>
      </c>
      <c r="Q23">
        <f>IF(AND(C23="M",D23=35),INT(N23/83*1000),0)</f>
        <v>0</v>
      </c>
      <c r="R23">
        <f>IF(AND(C23="M",D23=40),INT(N23/78*1000),0)</f>
        <v>0</v>
      </c>
      <c r="S23">
        <f>IF(AND(C23="M",D23=45),INT(N23/74*1000),0)</f>
        <v>0</v>
      </c>
      <c r="T23">
        <f>IF(AND(C23="M",D23=50),INT(N23/69*1000),0)</f>
        <v>0</v>
      </c>
      <c r="U23">
        <f>IF(AND(C23="M",D23=55),INT(N23/65*1000),0)</f>
        <v>0</v>
      </c>
      <c r="V23">
        <f>IF(AND(C23="M",D23=60),INT(N23/60*1000),0)</f>
        <v>0</v>
      </c>
      <c r="W23">
        <f>IF(AND(C23="M",D23=65),INT(N23/56*1000),0)</f>
        <v>0</v>
      </c>
      <c r="X23">
        <f t="shared" si="12"/>
        <v>0</v>
      </c>
      <c r="Y23">
        <f t="shared" si="13"/>
        <v>0</v>
      </c>
      <c r="Z23">
        <f t="shared" si="14"/>
        <v>0</v>
      </c>
      <c r="AA23">
        <f>IF(AND(C23="F",D23=25),INT(N23/79*1000),0)</f>
        <v>0</v>
      </c>
      <c r="AB23">
        <f>IF(AND(C23="F",D23=30),INT(N23/75*1000),0)</f>
        <v>0</v>
      </c>
      <c r="AC23">
        <f>IF(AND(C23="F",D23=35),INT(N23/70*1000),0)</f>
        <v>0</v>
      </c>
      <c r="AD23">
        <f>IF(AND(C23="F",D23=40),INT(N23/66*1000),0)</f>
        <v>0</v>
      </c>
      <c r="AE23">
        <f>IF(AND(C23="F",D23=45),INT(N23/62*1000),0)</f>
        <v>0</v>
      </c>
      <c r="AF23">
        <f>IF(AND(C23="F",D23=50),INT(N23/57*1000),0)</f>
        <v>0</v>
      </c>
      <c r="AG23">
        <f>IF(AND(C23="F",D23=55),INT(N23/53*1000),0)</f>
        <v>0</v>
      </c>
      <c r="AH23">
        <f>IF(AND(C23="F",D23=60),INT(N23/48*1000),0)</f>
        <v>0</v>
      </c>
      <c r="AI23">
        <f t="shared" si="23"/>
        <v>0</v>
      </c>
      <c r="AJ23">
        <f t="shared" si="24"/>
        <v>0</v>
      </c>
      <c r="AK23">
        <f t="shared" si="25"/>
        <v>0</v>
      </c>
      <c r="AL23">
        <f t="shared" si="26"/>
        <v>0</v>
      </c>
    </row>
    <row r="24" spans="9:13" ht="12.75">
      <c r="I24" s="17"/>
      <c r="M24" s="19">
        <f>J20+J21+K21+K22</f>
        <v>2618</v>
      </c>
    </row>
    <row r="25" ht="12.75">
      <c r="I25" s="17"/>
    </row>
    <row r="26" spans="1:38" ht="12.75">
      <c r="A26" s="1" t="s">
        <v>42</v>
      </c>
      <c r="B26" s="1" t="s">
        <v>33</v>
      </c>
      <c r="C26" s="1" t="s">
        <v>32</v>
      </c>
      <c r="D26" s="1">
        <v>50</v>
      </c>
      <c r="I26" s="17"/>
      <c r="J26" s="2">
        <f t="shared" si="1"/>
        <v>0</v>
      </c>
      <c r="K26" s="2">
        <v>705</v>
      </c>
      <c r="L26" s="2">
        <f t="shared" si="0"/>
        <v>705</v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0</v>
      </c>
      <c r="R26">
        <f t="shared" si="6"/>
        <v>0</v>
      </c>
      <c r="S26">
        <f t="shared" si="7"/>
        <v>0</v>
      </c>
      <c r="T26">
        <f t="shared" si="8"/>
        <v>0</v>
      </c>
      <c r="U26">
        <f t="shared" si="9"/>
        <v>0</v>
      </c>
      <c r="V26">
        <f t="shared" si="10"/>
        <v>0</v>
      </c>
      <c r="W26">
        <f t="shared" si="11"/>
        <v>0</v>
      </c>
      <c r="X26">
        <f t="shared" si="12"/>
        <v>0</v>
      </c>
      <c r="Y26">
        <f t="shared" si="13"/>
        <v>0</v>
      </c>
      <c r="Z26">
        <f t="shared" si="14"/>
        <v>0</v>
      </c>
      <c r="AA26">
        <f t="shared" si="15"/>
        <v>0</v>
      </c>
      <c r="AB26">
        <f t="shared" si="16"/>
        <v>0</v>
      </c>
      <c r="AC26">
        <f t="shared" si="17"/>
        <v>0</v>
      </c>
      <c r="AD26">
        <f t="shared" si="18"/>
        <v>0</v>
      </c>
      <c r="AE26">
        <f t="shared" si="19"/>
        <v>0</v>
      </c>
      <c r="AF26">
        <f t="shared" si="20"/>
        <v>0</v>
      </c>
      <c r="AG26">
        <f t="shared" si="21"/>
        <v>0</v>
      </c>
      <c r="AH26">
        <f t="shared" si="22"/>
        <v>0</v>
      </c>
      <c r="AI26">
        <f t="shared" si="23"/>
        <v>0</v>
      </c>
      <c r="AJ26">
        <f t="shared" si="24"/>
        <v>0</v>
      </c>
      <c r="AK26">
        <f t="shared" si="25"/>
        <v>0</v>
      </c>
      <c r="AL26">
        <f t="shared" si="26"/>
        <v>0</v>
      </c>
    </row>
    <row r="27" spans="1:38" ht="12.75">
      <c r="A27" s="1" t="s">
        <v>43</v>
      </c>
      <c r="B27" s="1" t="s">
        <v>33</v>
      </c>
      <c r="C27" s="1" t="s">
        <v>32</v>
      </c>
      <c r="D27" s="1">
        <v>40</v>
      </c>
      <c r="I27" s="17">
        <v>50800</v>
      </c>
      <c r="J27" s="2">
        <f>SUM(O27:AL27)</f>
        <v>871</v>
      </c>
      <c r="K27" s="2">
        <v>0</v>
      </c>
      <c r="L27" s="2">
        <f t="shared" si="0"/>
        <v>871</v>
      </c>
      <c r="N27">
        <f t="shared" si="2"/>
        <v>68</v>
      </c>
      <c r="O27">
        <f t="shared" si="3"/>
        <v>0</v>
      </c>
      <c r="P27">
        <f t="shared" si="4"/>
        <v>0</v>
      </c>
      <c r="Q27">
        <f t="shared" si="5"/>
        <v>0</v>
      </c>
      <c r="R27">
        <f t="shared" si="6"/>
        <v>871</v>
      </c>
      <c r="S27">
        <f t="shared" si="7"/>
        <v>0</v>
      </c>
      <c r="T27">
        <f t="shared" si="8"/>
        <v>0</v>
      </c>
      <c r="U27">
        <f t="shared" si="9"/>
        <v>0</v>
      </c>
      <c r="V27">
        <f t="shared" si="10"/>
        <v>0</v>
      </c>
      <c r="W27">
        <f t="shared" si="11"/>
        <v>0</v>
      </c>
      <c r="X27">
        <f>IF(AND(C27="M",D27=70),INT(N27/54*1000),0)</f>
        <v>0</v>
      </c>
      <c r="Y27">
        <f>IF(AND(C27="M",D27=75),INT(N27/52*1000),0)</f>
        <v>0</v>
      </c>
      <c r="Z27">
        <f>IF(AND(C27="M",D27=80),INT(N27/48.25*1000),0)</f>
        <v>0</v>
      </c>
      <c r="AA27">
        <f t="shared" si="15"/>
        <v>0</v>
      </c>
      <c r="AB27">
        <f t="shared" si="16"/>
        <v>0</v>
      </c>
      <c r="AC27">
        <f t="shared" si="17"/>
        <v>0</v>
      </c>
      <c r="AD27">
        <f t="shared" si="18"/>
        <v>0</v>
      </c>
      <c r="AE27">
        <f t="shared" si="19"/>
        <v>0</v>
      </c>
      <c r="AF27">
        <f t="shared" si="20"/>
        <v>0</v>
      </c>
      <c r="AG27">
        <f t="shared" si="21"/>
        <v>0</v>
      </c>
      <c r="AH27">
        <f t="shared" si="22"/>
        <v>0</v>
      </c>
      <c r="AI27">
        <f>IF(AND(C27="F",D27=65),INT(N27/44*1000),0)</f>
        <v>0</v>
      </c>
      <c r="AJ27">
        <f>IF(AND(C27="F",D27=70),INT(N27/42.75*1000),0)</f>
        <v>0</v>
      </c>
      <c r="AK27">
        <f>IF(AND(C27="F",D27=75),INT(N27/41.25*1000),0)</f>
        <v>0</v>
      </c>
      <c r="AL27">
        <f>IF(AND(C27="F",D27=80),INT(N27/35.5*1000),0)</f>
        <v>0</v>
      </c>
    </row>
    <row r="28" spans="1:38" ht="12.75">
      <c r="A28" s="1" t="s">
        <v>44</v>
      </c>
      <c r="B28" s="1" t="s">
        <v>33</v>
      </c>
      <c r="C28" s="1" t="s">
        <v>32</v>
      </c>
      <c r="D28" s="1">
        <v>30</v>
      </c>
      <c r="I28" s="17">
        <v>50800</v>
      </c>
      <c r="J28" s="2">
        <f t="shared" si="1"/>
        <v>772</v>
      </c>
      <c r="K28" s="2">
        <v>637</v>
      </c>
      <c r="L28" s="2">
        <f t="shared" si="0"/>
        <v>1409</v>
      </c>
      <c r="N28">
        <f t="shared" si="2"/>
        <v>68</v>
      </c>
      <c r="O28">
        <f t="shared" si="3"/>
        <v>0</v>
      </c>
      <c r="P28">
        <f t="shared" si="4"/>
        <v>772</v>
      </c>
      <c r="Q28">
        <f t="shared" si="5"/>
        <v>0</v>
      </c>
      <c r="R28">
        <f t="shared" si="6"/>
        <v>0</v>
      </c>
      <c r="S28">
        <f t="shared" si="7"/>
        <v>0</v>
      </c>
      <c r="T28">
        <f t="shared" si="8"/>
        <v>0</v>
      </c>
      <c r="U28">
        <f t="shared" si="9"/>
        <v>0</v>
      </c>
      <c r="V28">
        <f t="shared" si="10"/>
        <v>0</v>
      </c>
      <c r="W28">
        <f t="shared" si="11"/>
        <v>0</v>
      </c>
      <c r="X28">
        <f t="shared" si="12"/>
        <v>0</v>
      </c>
      <c r="Y28">
        <f t="shared" si="13"/>
        <v>0</v>
      </c>
      <c r="Z28">
        <f t="shared" si="14"/>
        <v>0</v>
      </c>
      <c r="AA28">
        <f t="shared" si="15"/>
        <v>0</v>
      </c>
      <c r="AB28">
        <f t="shared" si="16"/>
        <v>0</v>
      </c>
      <c r="AC28">
        <f t="shared" si="17"/>
        <v>0</v>
      </c>
      <c r="AD28">
        <f t="shared" si="18"/>
        <v>0</v>
      </c>
      <c r="AE28">
        <f t="shared" si="19"/>
        <v>0</v>
      </c>
      <c r="AF28">
        <f t="shared" si="20"/>
        <v>0</v>
      </c>
      <c r="AG28">
        <f t="shared" si="21"/>
        <v>0</v>
      </c>
      <c r="AH28">
        <f t="shared" si="22"/>
        <v>0</v>
      </c>
      <c r="AI28">
        <f t="shared" si="23"/>
        <v>0</v>
      </c>
      <c r="AJ28">
        <f t="shared" si="24"/>
        <v>0</v>
      </c>
      <c r="AK28">
        <f t="shared" si="25"/>
        <v>0</v>
      </c>
      <c r="AL28">
        <f t="shared" si="26"/>
        <v>0</v>
      </c>
    </row>
    <row r="29" spans="1:38" ht="12.75">
      <c r="A29" s="1" t="s">
        <v>97</v>
      </c>
      <c r="B29" s="1" t="s">
        <v>33</v>
      </c>
      <c r="C29" s="1" t="s">
        <v>32</v>
      </c>
      <c r="D29" s="1">
        <v>25</v>
      </c>
      <c r="E29" s="5"/>
      <c r="F29" s="5"/>
      <c r="G29" s="5"/>
      <c r="H29" s="5"/>
      <c r="I29" s="16"/>
      <c r="K29" s="7">
        <v>608</v>
      </c>
      <c r="L29" s="2">
        <f t="shared" si="0"/>
        <v>608</v>
      </c>
      <c r="M29" s="7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5:38" ht="12.75">
      <c r="E30" s="5"/>
      <c r="F30" s="5"/>
      <c r="G30" s="5"/>
      <c r="H30" s="5"/>
      <c r="I30" s="16"/>
      <c r="K30" s="7"/>
      <c r="M30" s="20">
        <f>J27+J28+K26+K28</f>
        <v>2985</v>
      </c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5:38" ht="12.75">
      <c r="E31" s="5"/>
      <c r="F31" s="5"/>
      <c r="G31" s="5"/>
      <c r="H31" s="5"/>
      <c r="I31" s="16"/>
      <c r="K31" s="7"/>
      <c r="M31" s="7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0:38" ht="12.75">
      <c r="J32" s="2">
        <f t="shared" si="1"/>
        <v>0</v>
      </c>
      <c r="L32" s="2">
        <f t="shared" si="0"/>
        <v>0</v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Z32">
        <f t="shared" si="14"/>
        <v>0</v>
      </c>
      <c r="AA32">
        <f t="shared" si="15"/>
        <v>0</v>
      </c>
      <c r="AB32">
        <f t="shared" si="16"/>
        <v>0</v>
      </c>
      <c r="AC32">
        <f t="shared" si="17"/>
        <v>0</v>
      </c>
      <c r="AD32">
        <f t="shared" si="18"/>
        <v>0</v>
      </c>
      <c r="AE32">
        <f t="shared" si="19"/>
        <v>0</v>
      </c>
      <c r="AF32">
        <f t="shared" si="20"/>
        <v>0</v>
      </c>
      <c r="AG32">
        <f t="shared" si="21"/>
        <v>0</v>
      </c>
      <c r="AH32">
        <f t="shared" si="22"/>
        <v>0</v>
      </c>
      <c r="AI32">
        <f t="shared" si="23"/>
        <v>0</v>
      </c>
      <c r="AJ32">
        <f t="shared" si="24"/>
        <v>0</v>
      </c>
      <c r="AK32">
        <f t="shared" si="25"/>
        <v>0</v>
      </c>
      <c r="AL32">
        <f t="shared" si="26"/>
        <v>0</v>
      </c>
    </row>
    <row r="33" spans="10:38" ht="12.75">
      <c r="J33" s="2">
        <f t="shared" si="1"/>
        <v>0</v>
      </c>
      <c r="L33" s="2">
        <f t="shared" si="0"/>
        <v>0</v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3"/>
        <v>0</v>
      </c>
      <c r="Z33">
        <f t="shared" si="14"/>
        <v>0</v>
      </c>
      <c r="AA33">
        <f t="shared" si="15"/>
        <v>0</v>
      </c>
      <c r="AB33">
        <f t="shared" si="16"/>
        <v>0</v>
      </c>
      <c r="AC33">
        <f t="shared" si="17"/>
        <v>0</v>
      </c>
      <c r="AD33">
        <f t="shared" si="18"/>
        <v>0</v>
      </c>
      <c r="AE33">
        <f t="shared" si="19"/>
        <v>0</v>
      </c>
      <c r="AF33">
        <f t="shared" si="20"/>
        <v>0</v>
      </c>
      <c r="AG33">
        <f t="shared" si="21"/>
        <v>0</v>
      </c>
      <c r="AH33">
        <f t="shared" si="22"/>
        <v>0</v>
      </c>
      <c r="AI33">
        <f t="shared" si="23"/>
        <v>0</v>
      </c>
      <c r="AJ33">
        <f t="shared" si="24"/>
        <v>0</v>
      </c>
      <c r="AK33">
        <f t="shared" si="25"/>
        <v>0</v>
      </c>
      <c r="AL33">
        <f t="shared" si="26"/>
        <v>0</v>
      </c>
    </row>
    <row r="34" spans="10:38" ht="12.75">
      <c r="J34" s="2">
        <f t="shared" si="1"/>
        <v>0</v>
      </c>
      <c r="L34" s="2">
        <f t="shared" si="0"/>
        <v>0</v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3"/>
        <v>0</v>
      </c>
      <c r="Z34">
        <f t="shared" si="14"/>
        <v>0</v>
      </c>
      <c r="AA34">
        <f t="shared" si="15"/>
        <v>0</v>
      </c>
      <c r="AB34">
        <f t="shared" si="16"/>
        <v>0</v>
      </c>
      <c r="AC34">
        <f t="shared" si="17"/>
        <v>0</v>
      </c>
      <c r="AD34">
        <f t="shared" si="18"/>
        <v>0</v>
      </c>
      <c r="AE34">
        <f t="shared" si="19"/>
        <v>0</v>
      </c>
      <c r="AF34">
        <f t="shared" si="20"/>
        <v>0</v>
      </c>
      <c r="AG34">
        <f t="shared" si="21"/>
        <v>0</v>
      </c>
      <c r="AH34">
        <f t="shared" si="22"/>
        <v>0</v>
      </c>
      <c r="AI34">
        <f t="shared" si="23"/>
        <v>0</v>
      </c>
      <c r="AJ34">
        <f t="shared" si="24"/>
        <v>0</v>
      </c>
      <c r="AK34">
        <f t="shared" si="25"/>
        <v>0</v>
      </c>
      <c r="AL34">
        <f t="shared" si="26"/>
        <v>0</v>
      </c>
    </row>
    <row r="35" spans="10:38" ht="12.75">
      <c r="J35" s="2">
        <f t="shared" si="1"/>
        <v>0</v>
      </c>
      <c r="L35" s="2">
        <f t="shared" si="0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</v>
      </c>
      <c r="R35">
        <f t="shared" si="6"/>
        <v>0</v>
      </c>
      <c r="S35">
        <f t="shared" si="7"/>
        <v>0</v>
      </c>
      <c r="T35">
        <f t="shared" si="8"/>
        <v>0</v>
      </c>
      <c r="U35">
        <f t="shared" si="9"/>
        <v>0</v>
      </c>
      <c r="V35">
        <f t="shared" si="10"/>
        <v>0</v>
      </c>
      <c r="W35">
        <f t="shared" si="11"/>
        <v>0</v>
      </c>
      <c r="X35">
        <f t="shared" si="12"/>
        <v>0</v>
      </c>
      <c r="Y35">
        <f t="shared" si="13"/>
        <v>0</v>
      </c>
      <c r="Z35">
        <f t="shared" si="14"/>
        <v>0</v>
      </c>
      <c r="AA35">
        <f t="shared" si="15"/>
        <v>0</v>
      </c>
      <c r="AB35">
        <f t="shared" si="16"/>
        <v>0</v>
      </c>
      <c r="AC35">
        <f t="shared" si="17"/>
        <v>0</v>
      </c>
      <c r="AD35">
        <f t="shared" si="18"/>
        <v>0</v>
      </c>
      <c r="AE35">
        <f t="shared" si="19"/>
        <v>0</v>
      </c>
      <c r="AF35">
        <f t="shared" si="20"/>
        <v>0</v>
      </c>
      <c r="AG35">
        <f t="shared" si="21"/>
        <v>0</v>
      </c>
      <c r="AH35">
        <f t="shared" si="22"/>
        <v>0</v>
      </c>
      <c r="AI35">
        <f t="shared" si="23"/>
        <v>0</v>
      </c>
      <c r="AJ35">
        <f t="shared" si="24"/>
        <v>0</v>
      </c>
      <c r="AK35">
        <f t="shared" si="25"/>
        <v>0</v>
      </c>
      <c r="AL35">
        <f t="shared" si="26"/>
        <v>0</v>
      </c>
    </row>
    <row r="36" spans="10:38" ht="12.75">
      <c r="J36" s="2">
        <f t="shared" si="1"/>
        <v>0</v>
      </c>
      <c r="L36" s="2">
        <f t="shared" si="0"/>
        <v>0</v>
      </c>
      <c r="N36">
        <f t="shared" si="2"/>
        <v>0</v>
      </c>
      <c r="O36">
        <f t="shared" si="3"/>
        <v>0</v>
      </c>
      <c r="P36">
        <f t="shared" si="4"/>
        <v>0</v>
      </c>
      <c r="Q36">
        <f t="shared" si="5"/>
        <v>0</v>
      </c>
      <c r="R36">
        <f t="shared" si="6"/>
        <v>0</v>
      </c>
      <c r="S36">
        <f t="shared" si="7"/>
        <v>0</v>
      </c>
      <c r="T36">
        <f t="shared" si="8"/>
        <v>0</v>
      </c>
      <c r="U36">
        <f t="shared" si="9"/>
        <v>0</v>
      </c>
      <c r="V36">
        <f t="shared" si="10"/>
        <v>0</v>
      </c>
      <c r="W36">
        <f t="shared" si="11"/>
        <v>0</v>
      </c>
      <c r="X36">
        <f t="shared" si="12"/>
        <v>0</v>
      </c>
      <c r="Y36">
        <f t="shared" si="13"/>
        <v>0</v>
      </c>
      <c r="Z36">
        <f t="shared" si="14"/>
        <v>0</v>
      </c>
      <c r="AA36">
        <f t="shared" si="15"/>
        <v>0</v>
      </c>
      <c r="AB36">
        <f t="shared" si="16"/>
        <v>0</v>
      </c>
      <c r="AC36">
        <f t="shared" si="17"/>
        <v>0</v>
      </c>
      <c r="AD36">
        <f t="shared" si="18"/>
        <v>0</v>
      </c>
      <c r="AE36">
        <f t="shared" si="19"/>
        <v>0</v>
      </c>
      <c r="AF36">
        <f t="shared" si="20"/>
        <v>0</v>
      </c>
      <c r="AG36">
        <f t="shared" si="21"/>
        <v>0</v>
      </c>
      <c r="AH36">
        <f t="shared" si="22"/>
        <v>0</v>
      </c>
      <c r="AI36">
        <f t="shared" si="23"/>
        <v>0</v>
      </c>
      <c r="AJ36">
        <f t="shared" si="24"/>
        <v>0</v>
      </c>
      <c r="AK36">
        <f t="shared" si="25"/>
        <v>0</v>
      </c>
      <c r="AL36">
        <f t="shared" si="26"/>
        <v>0</v>
      </c>
    </row>
    <row r="37" spans="10:38" ht="12.75">
      <c r="J37" s="2">
        <f t="shared" si="1"/>
        <v>0</v>
      </c>
      <c r="L37" s="2">
        <f t="shared" si="0"/>
        <v>0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3"/>
        <v>0</v>
      </c>
      <c r="Z37">
        <f t="shared" si="14"/>
        <v>0</v>
      </c>
      <c r="AA37">
        <f t="shared" si="15"/>
        <v>0</v>
      </c>
      <c r="AB37">
        <f t="shared" si="16"/>
        <v>0</v>
      </c>
      <c r="AC37">
        <f t="shared" si="17"/>
        <v>0</v>
      </c>
      <c r="AD37">
        <f t="shared" si="18"/>
        <v>0</v>
      </c>
      <c r="AE37">
        <f t="shared" si="19"/>
        <v>0</v>
      </c>
      <c r="AF37">
        <f t="shared" si="20"/>
        <v>0</v>
      </c>
      <c r="AG37">
        <f t="shared" si="21"/>
        <v>0</v>
      </c>
      <c r="AH37">
        <f t="shared" si="22"/>
        <v>0</v>
      </c>
      <c r="AI37">
        <f t="shared" si="23"/>
        <v>0</v>
      </c>
      <c r="AJ37">
        <f t="shared" si="24"/>
        <v>0</v>
      </c>
      <c r="AK37">
        <f t="shared" si="25"/>
        <v>0</v>
      </c>
      <c r="AL37">
        <f t="shared" si="26"/>
        <v>0</v>
      </c>
    </row>
  </sheetData>
  <printOptions gridLines="1"/>
  <pageMargins left="0.5" right="0.5" top="0.5" bottom="0.5" header="0.25" footer="0.2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D4">
      <selection activeCell="E17" sqref="E17"/>
    </sheetView>
  </sheetViews>
  <sheetFormatPr defaultColWidth="9.140625" defaultRowHeight="12.75"/>
  <cols>
    <col min="1" max="1" width="16.421875" style="1" bestFit="1" customWidth="1"/>
    <col min="2" max="2" width="9.28125" style="1" bestFit="1" customWidth="1"/>
    <col min="3" max="4" width="4.28125" style="1" customWidth="1"/>
    <col min="5" max="5" width="9.140625" style="3" customWidth="1"/>
    <col min="6" max="6" width="2.7109375" style="3" customWidth="1"/>
    <col min="7" max="7" width="2.8515625" style="3" customWidth="1"/>
    <col min="8" max="8" width="2.7109375" style="3" customWidth="1"/>
    <col min="9" max="9" width="9.140625" style="4" customWidth="1"/>
    <col min="10" max="10" width="8.57421875" style="2" bestFit="1" customWidth="1"/>
    <col min="11" max="11" width="2.57421875" style="2" customWidth="1"/>
    <col min="12" max="12" width="2.28125" style="2" customWidth="1"/>
    <col min="13" max="13" width="2.421875" style="2" customWidth="1"/>
    <col min="14" max="14" width="7.00390625" style="0" bestFit="1" customWidth="1"/>
    <col min="15" max="17" width="4.00390625" style="0" bestFit="1" customWidth="1"/>
    <col min="18" max="18" width="3.00390625" style="0" customWidth="1"/>
    <col min="19" max="20" width="4.00390625" style="0" bestFit="1" customWidth="1"/>
    <col min="21" max="27" width="3.00390625" style="0" customWidth="1"/>
    <col min="28" max="29" width="4.00390625" style="0" bestFit="1" customWidth="1"/>
    <col min="30" max="34" width="3.00390625" style="0" customWidth="1"/>
    <col min="35" max="36" width="4.00390625" style="0" bestFit="1" customWidth="1"/>
    <col min="37" max="38" width="3.00390625" style="0" customWidth="1"/>
    <col min="39" max="16384" width="9.00390625" style="0" customWidth="1"/>
  </cols>
  <sheetData>
    <row r="1" spans="1:38" ht="102">
      <c r="A1" s="1" t="s">
        <v>53</v>
      </c>
      <c r="B1" s="1" t="s">
        <v>54</v>
      </c>
      <c r="C1" s="1" t="s">
        <v>0</v>
      </c>
      <c r="D1" s="1" t="s">
        <v>1</v>
      </c>
      <c r="E1" s="5" t="s">
        <v>92</v>
      </c>
      <c r="F1" s="5" t="s">
        <v>3</v>
      </c>
      <c r="G1" s="5" t="s">
        <v>4</v>
      </c>
      <c r="H1" s="5" t="s">
        <v>5</v>
      </c>
      <c r="I1" s="6" t="s">
        <v>6</v>
      </c>
      <c r="J1" s="2" t="s">
        <v>7</v>
      </c>
      <c r="K1" s="7" t="s">
        <v>30</v>
      </c>
      <c r="L1" s="7" t="s">
        <v>30</v>
      </c>
      <c r="M1" s="7" t="s">
        <v>30</v>
      </c>
      <c r="N1" s="8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38</v>
      </c>
      <c r="Y1" s="9" t="s">
        <v>39</v>
      </c>
      <c r="Z1" s="9" t="s">
        <v>40</v>
      </c>
      <c r="AA1" s="9" t="s">
        <v>21</v>
      </c>
      <c r="AB1" s="9" t="s">
        <v>22</v>
      </c>
      <c r="AC1" s="9" t="s">
        <v>23</v>
      </c>
      <c r="AD1" s="9" t="s">
        <v>24</v>
      </c>
      <c r="AE1" s="9" t="s">
        <v>25</v>
      </c>
      <c r="AF1" s="9" t="s">
        <v>26</v>
      </c>
      <c r="AG1" s="9" t="s">
        <v>27</v>
      </c>
      <c r="AH1" s="9" t="s">
        <v>28</v>
      </c>
      <c r="AI1" s="9" t="s">
        <v>29</v>
      </c>
      <c r="AJ1" s="9" t="s">
        <v>35</v>
      </c>
      <c r="AK1" s="9" t="s">
        <v>36</v>
      </c>
      <c r="AL1" s="9" t="s">
        <v>37</v>
      </c>
    </row>
    <row r="2" spans="1:38" ht="12.75">
      <c r="A2" s="1" t="s">
        <v>97</v>
      </c>
      <c r="B2" s="1" t="s">
        <v>33</v>
      </c>
      <c r="C2" s="1" t="s">
        <v>32</v>
      </c>
      <c r="D2" s="1">
        <v>25</v>
      </c>
      <c r="E2" s="3">
        <v>170900</v>
      </c>
      <c r="I2" s="4">
        <f aca="true" t="shared" si="0" ref="I2:I21">IF(E2&gt;F2,IF(E2&gt;G2,IF(E2&gt;H2,E2,H2),IF(G2&gt;H2,G2,H2)),IF(F2&gt;G2,IF(F2&gt;H2,F2,H2),IF(G2&gt;H2,G2,H2)))</f>
        <v>170900</v>
      </c>
      <c r="J2" s="2">
        <f aca="true" t="shared" si="1" ref="J2:J21">SUM(O2:AL2)</f>
        <v>608</v>
      </c>
      <c r="N2">
        <f aca="true" t="shared" si="2" ref="N2:N21">SUM((INT(I2/10000)*12)+((I2-((INT(I2/10000)*12)/12*10000))/100))</f>
        <v>213</v>
      </c>
      <c r="O2">
        <f aca="true" t="shared" si="3" ref="O2:O21">IF(AND(C2="M",D2=25),INT(N2/350*1000),0)</f>
        <v>608</v>
      </c>
      <c r="P2">
        <f aca="true" t="shared" si="4" ref="P2:P21">IF(AND(C2="M",D2=30),INT(N2/330*1000),0)</f>
        <v>0</v>
      </c>
      <c r="Q2">
        <f aca="true" t="shared" si="5" ref="Q2:Q21">IF(AND(C2="M",D2=35),INT(N2/311*1000),0)</f>
        <v>0</v>
      </c>
      <c r="R2">
        <f aca="true" t="shared" si="6" ref="R2:R21">IF(AND(C2="M",D2=40),INT(N2/291*1000),0)</f>
        <v>0</v>
      </c>
      <c r="S2">
        <f aca="true" t="shared" si="7" ref="S2:S21">IF(AND(C2="M",D2=45),INT(N2/272*1000),0)</f>
        <v>0</v>
      </c>
      <c r="T2">
        <f aca="true" t="shared" si="8" ref="T2:T21">IF(AND(C2="M",D2=50),INT(N2/252*1000),0)</f>
        <v>0</v>
      </c>
      <c r="U2">
        <f aca="true" t="shared" si="9" ref="U2:U21">IF(AND(C2="M",D2=55),INT(N2/233*1000),0)</f>
        <v>0</v>
      </c>
      <c r="V2">
        <f aca="true" t="shared" si="10" ref="V2:V21">IF(AND(C2="M",D2=60),INT(N2/213*1000),0)</f>
        <v>0</v>
      </c>
      <c r="W2">
        <f aca="true" t="shared" si="11" ref="W2:W21">IF(AND(C2="M",D2=65),INT(N2/194*1000),0)</f>
        <v>0</v>
      </c>
      <c r="X2">
        <f aca="true" t="shared" si="12" ref="X2:X21">IF(AND(C2="M",D2=70),INT(N2/182*1000),0)</f>
        <v>0</v>
      </c>
      <c r="Y2">
        <f aca="true" t="shared" si="13" ref="Y2:Y21">IF(AND(C2="M",D2=75),INT(N2/170.25*1000),0)</f>
        <v>0</v>
      </c>
      <c r="Z2">
        <f aca="true" t="shared" si="14" ref="Z2:Z21">IF(AND(D2="M",D2=80),INT(N2/144.5*1000),0)</f>
        <v>0</v>
      </c>
      <c r="AA2">
        <f aca="true" t="shared" si="15" ref="AA2:AA21">IF(AND(C2="F",D2=25),INT(N2/276*1000),0)</f>
        <v>0</v>
      </c>
      <c r="AB2">
        <f aca="true" t="shared" si="16" ref="AB2:AB21">IF(AND(C2="F",D2=30),INT(N2/257*1000),0)</f>
        <v>0</v>
      </c>
      <c r="AC2">
        <f aca="true" t="shared" si="17" ref="AC2:AC21">IF(AND(C2="F",D2=35),INT(N2/238*1000),0)</f>
        <v>0</v>
      </c>
      <c r="AD2">
        <f aca="true" t="shared" si="18" ref="AD2:AD21">IF(AND(C2="F",D2=40),INT(N2/219*1000),0)</f>
        <v>0</v>
      </c>
      <c r="AE2">
        <f aca="true" t="shared" si="19" ref="AE2:AE21">IF(AND(C2="F",D2=45),INT(N2/201*1000),0)</f>
        <v>0</v>
      </c>
      <c r="AF2">
        <f aca="true" t="shared" si="20" ref="AF2:AF21">IF(AND(C2="F",D2=50),INT(N2/182*1000),0)</f>
        <v>0</v>
      </c>
      <c r="AG2">
        <f aca="true" t="shared" si="21" ref="AG2:AG21">IF(AND(C2="F",D2=55),INT(N2/163*1000),0)</f>
        <v>0</v>
      </c>
      <c r="AH2">
        <f aca="true" t="shared" si="22" ref="AH2:AH21">IF(AND(C2="F",D2=60),INT(N2/144*1000),0)</f>
        <v>0</v>
      </c>
      <c r="AI2">
        <f aca="true" t="shared" si="23" ref="AI2:AI21">IF(AND(C2="F",D2=65),INT(N2/125*1000),0)</f>
        <v>0</v>
      </c>
      <c r="AJ2">
        <f aca="true" t="shared" si="24" ref="AJ2:AJ21">IF(AND(C2="F",D2=70),INT(N2/123.5*1000),0)</f>
        <v>0</v>
      </c>
      <c r="AK2">
        <f aca="true" t="shared" si="25" ref="AK2:AK21">IF(AND(C2="F",D2=75),INT(N2/122*1000),0)</f>
        <v>0</v>
      </c>
      <c r="AL2">
        <f aca="true" t="shared" si="26" ref="AL2:AL21">IF(AND(C2="F",D2=80),INT(N2/109.5*1000),0)</f>
        <v>0</v>
      </c>
    </row>
    <row r="3" spans="1:38" ht="12.75">
      <c r="A3" s="1" t="s">
        <v>145</v>
      </c>
      <c r="B3" s="1" t="s">
        <v>147</v>
      </c>
      <c r="C3" s="1" t="s">
        <v>32</v>
      </c>
      <c r="D3" s="1">
        <v>40</v>
      </c>
      <c r="I3" s="4">
        <f t="shared" si="0"/>
        <v>0</v>
      </c>
      <c r="J3" s="2">
        <f t="shared" si="1"/>
        <v>0</v>
      </c>
      <c r="N3">
        <f t="shared" si="2"/>
        <v>0</v>
      </c>
      <c r="O3">
        <f t="shared" si="3"/>
        <v>0</v>
      </c>
      <c r="P3">
        <f t="shared" si="4"/>
        <v>0</v>
      </c>
      <c r="Q3">
        <f t="shared" si="5"/>
        <v>0</v>
      </c>
      <c r="R3">
        <f t="shared" si="6"/>
        <v>0</v>
      </c>
      <c r="S3">
        <f t="shared" si="7"/>
        <v>0</v>
      </c>
      <c r="T3">
        <f t="shared" si="8"/>
        <v>0</v>
      </c>
      <c r="U3">
        <f t="shared" si="9"/>
        <v>0</v>
      </c>
      <c r="V3">
        <f t="shared" si="10"/>
        <v>0</v>
      </c>
      <c r="W3">
        <f t="shared" si="11"/>
        <v>0</v>
      </c>
      <c r="X3">
        <f t="shared" si="12"/>
        <v>0</v>
      </c>
      <c r="Y3">
        <f t="shared" si="13"/>
        <v>0</v>
      </c>
      <c r="Z3">
        <f t="shared" si="14"/>
        <v>0</v>
      </c>
      <c r="AA3">
        <f t="shared" si="15"/>
        <v>0</v>
      </c>
      <c r="AB3">
        <f t="shared" si="16"/>
        <v>0</v>
      </c>
      <c r="AC3">
        <f t="shared" si="17"/>
        <v>0</v>
      </c>
      <c r="AD3">
        <f t="shared" si="18"/>
        <v>0</v>
      </c>
      <c r="AE3">
        <f t="shared" si="19"/>
        <v>0</v>
      </c>
      <c r="AF3">
        <f t="shared" si="20"/>
        <v>0</v>
      </c>
      <c r="AG3">
        <f t="shared" si="21"/>
        <v>0</v>
      </c>
      <c r="AH3">
        <f t="shared" si="22"/>
        <v>0</v>
      </c>
      <c r="AI3">
        <f t="shared" si="23"/>
        <v>0</v>
      </c>
      <c r="AJ3">
        <f t="shared" si="24"/>
        <v>0</v>
      </c>
      <c r="AK3">
        <f t="shared" si="25"/>
        <v>0</v>
      </c>
      <c r="AL3">
        <f t="shared" si="26"/>
        <v>0</v>
      </c>
    </row>
    <row r="4" spans="1:38" ht="12.75">
      <c r="A4" s="1" t="s">
        <v>107</v>
      </c>
      <c r="B4" s="1" t="s">
        <v>51</v>
      </c>
      <c r="C4" s="1" t="s">
        <v>32</v>
      </c>
      <c r="D4" s="1">
        <v>25</v>
      </c>
      <c r="I4" s="4">
        <f t="shared" si="0"/>
        <v>0</v>
      </c>
      <c r="J4" s="2">
        <f t="shared" si="1"/>
        <v>0</v>
      </c>
      <c r="N4">
        <f t="shared" si="2"/>
        <v>0</v>
      </c>
      <c r="O4">
        <f t="shared" si="3"/>
        <v>0</v>
      </c>
      <c r="P4">
        <f t="shared" si="4"/>
        <v>0</v>
      </c>
      <c r="Q4">
        <f t="shared" si="5"/>
        <v>0</v>
      </c>
      <c r="R4">
        <f t="shared" si="6"/>
        <v>0</v>
      </c>
      <c r="S4">
        <f t="shared" si="7"/>
        <v>0</v>
      </c>
      <c r="T4">
        <f t="shared" si="8"/>
        <v>0</v>
      </c>
      <c r="U4">
        <f t="shared" si="9"/>
        <v>0</v>
      </c>
      <c r="V4">
        <f t="shared" si="10"/>
        <v>0</v>
      </c>
      <c r="W4">
        <f t="shared" si="11"/>
        <v>0</v>
      </c>
      <c r="X4">
        <f t="shared" si="12"/>
        <v>0</v>
      </c>
      <c r="Y4">
        <f t="shared" si="13"/>
        <v>0</v>
      </c>
      <c r="Z4">
        <f t="shared" si="14"/>
        <v>0</v>
      </c>
      <c r="AA4">
        <f t="shared" si="15"/>
        <v>0</v>
      </c>
      <c r="AB4">
        <f t="shared" si="16"/>
        <v>0</v>
      </c>
      <c r="AC4">
        <f t="shared" si="17"/>
        <v>0</v>
      </c>
      <c r="AD4">
        <f t="shared" si="18"/>
        <v>0</v>
      </c>
      <c r="AE4">
        <f t="shared" si="19"/>
        <v>0</v>
      </c>
      <c r="AF4">
        <f t="shared" si="20"/>
        <v>0</v>
      </c>
      <c r="AG4">
        <f t="shared" si="21"/>
        <v>0</v>
      </c>
      <c r="AH4">
        <f t="shared" si="22"/>
        <v>0</v>
      </c>
      <c r="AI4">
        <f t="shared" si="23"/>
        <v>0</v>
      </c>
      <c r="AJ4">
        <f t="shared" si="24"/>
        <v>0</v>
      </c>
      <c r="AK4">
        <f t="shared" si="25"/>
        <v>0</v>
      </c>
      <c r="AL4">
        <f t="shared" si="26"/>
        <v>0</v>
      </c>
    </row>
    <row r="5" spans="1:38" ht="12.75">
      <c r="A5" s="1" t="s">
        <v>130</v>
      </c>
      <c r="B5" s="1" t="s">
        <v>146</v>
      </c>
      <c r="C5" s="1" t="s">
        <v>32</v>
      </c>
      <c r="D5" s="1">
        <v>35</v>
      </c>
      <c r="E5" s="3">
        <v>160875</v>
      </c>
      <c r="I5" s="4">
        <f t="shared" si="0"/>
        <v>160875</v>
      </c>
      <c r="J5" s="2">
        <f t="shared" si="1"/>
        <v>645</v>
      </c>
      <c r="N5">
        <f t="shared" si="2"/>
        <v>200.75</v>
      </c>
      <c r="O5">
        <f t="shared" si="3"/>
        <v>0</v>
      </c>
      <c r="P5">
        <f t="shared" si="4"/>
        <v>0</v>
      </c>
      <c r="Q5">
        <f t="shared" si="5"/>
        <v>645</v>
      </c>
      <c r="R5">
        <f t="shared" si="6"/>
        <v>0</v>
      </c>
      <c r="S5">
        <f t="shared" si="7"/>
        <v>0</v>
      </c>
      <c r="T5">
        <f t="shared" si="8"/>
        <v>0</v>
      </c>
      <c r="U5">
        <f t="shared" si="9"/>
        <v>0</v>
      </c>
      <c r="V5">
        <f t="shared" si="10"/>
        <v>0</v>
      </c>
      <c r="W5">
        <f t="shared" si="11"/>
        <v>0</v>
      </c>
      <c r="X5">
        <f t="shared" si="12"/>
        <v>0</v>
      </c>
      <c r="Y5">
        <f t="shared" si="13"/>
        <v>0</v>
      </c>
      <c r="Z5">
        <f t="shared" si="14"/>
        <v>0</v>
      </c>
      <c r="AA5">
        <f t="shared" si="15"/>
        <v>0</v>
      </c>
      <c r="AB5">
        <f t="shared" si="16"/>
        <v>0</v>
      </c>
      <c r="AC5">
        <f t="shared" si="17"/>
        <v>0</v>
      </c>
      <c r="AD5">
        <f t="shared" si="18"/>
        <v>0</v>
      </c>
      <c r="AE5">
        <f t="shared" si="19"/>
        <v>0</v>
      </c>
      <c r="AF5">
        <f t="shared" si="20"/>
        <v>0</v>
      </c>
      <c r="AG5">
        <f t="shared" si="21"/>
        <v>0</v>
      </c>
      <c r="AH5">
        <f t="shared" si="22"/>
        <v>0</v>
      </c>
      <c r="AI5">
        <f t="shared" si="23"/>
        <v>0</v>
      </c>
      <c r="AJ5">
        <f t="shared" si="24"/>
        <v>0</v>
      </c>
      <c r="AK5">
        <f t="shared" si="25"/>
        <v>0</v>
      </c>
      <c r="AL5">
        <f t="shared" si="26"/>
        <v>0</v>
      </c>
    </row>
    <row r="6" spans="1:38" ht="12.75">
      <c r="A6" s="1" t="s">
        <v>44</v>
      </c>
      <c r="B6" s="1" t="s">
        <v>33</v>
      </c>
      <c r="C6" s="1" t="s">
        <v>32</v>
      </c>
      <c r="D6" s="1">
        <v>30</v>
      </c>
      <c r="E6" s="3">
        <v>170650</v>
      </c>
      <c r="I6" s="4">
        <f t="shared" si="0"/>
        <v>170650</v>
      </c>
      <c r="J6" s="2">
        <f t="shared" si="1"/>
        <v>637</v>
      </c>
      <c r="N6">
        <f t="shared" si="2"/>
        <v>210.5</v>
      </c>
      <c r="O6">
        <f t="shared" si="3"/>
        <v>0</v>
      </c>
      <c r="P6">
        <f t="shared" si="4"/>
        <v>637</v>
      </c>
      <c r="Q6">
        <f t="shared" si="5"/>
        <v>0</v>
      </c>
      <c r="R6">
        <f t="shared" si="6"/>
        <v>0</v>
      </c>
      <c r="S6">
        <f t="shared" si="7"/>
        <v>0</v>
      </c>
      <c r="T6">
        <f t="shared" si="8"/>
        <v>0</v>
      </c>
      <c r="U6">
        <f t="shared" si="9"/>
        <v>0</v>
      </c>
      <c r="V6">
        <f t="shared" si="10"/>
        <v>0</v>
      </c>
      <c r="W6">
        <f t="shared" si="11"/>
        <v>0</v>
      </c>
      <c r="X6">
        <f t="shared" si="12"/>
        <v>0</v>
      </c>
      <c r="Y6">
        <f t="shared" si="13"/>
        <v>0</v>
      </c>
      <c r="Z6">
        <f t="shared" si="14"/>
        <v>0</v>
      </c>
      <c r="AA6">
        <f t="shared" si="15"/>
        <v>0</v>
      </c>
      <c r="AB6">
        <f t="shared" si="16"/>
        <v>0</v>
      </c>
      <c r="AC6">
        <f t="shared" si="17"/>
        <v>0</v>
      </c>
      <c r="AD6">
        <f t="shared" si="18"/>
        <v>0</v>
      </c>
      <c r="AE6">
        <f t="shared" si="19"/>
        <v>0</v>
      </c>
      <c r="AF6">
        <f t="shared" si="20"/>
        <v>0</v>
      </c>
      <c r="AG6">
        <f t="shared" si="21"/>
        <v>0</v>
      </c>
      <c r="AH6">
        <f t="shared" si="22"/>
        <v>0</v>
      </c>
      <c r="AI6">
        <f t="shared" si="23"/>
        <v>0</v>
      </c>
      <c r="AJ6">
        <f t="shared" si="24"/>
        <v>0</v>
      </c>
      <c r="AK6">
        <f t="shared" si="25"/>
        <v>0</v>
      </c>
      <c r="AL6">
        <f t="shared" si="26"/>
        <v>0</v>
      </c>
    </row>
    <row r="7" spans="1:38" ht="12.75">
      <c r="A7" s="1" t="s">
        <v>125</v>
      </c>
      <c r="B7" s="1" t="s">
        <v>93</v>
      </c>
      <c r="C7" s="1" t="s">
        <v>32</v>
      </c>
      <c r="D7" s="1">
        <v>55</v>
      </c>
      <c r="I7" s="4">
        <f t="shared" si="0"/>
        <v>0</v>
      </c>
      <c r="J7" s="2">
        <f t="shared" si="1"/>
        <v>0</v>
      </c>
      <c r="N7">
        <f t="shared" si="2"/>
        <v>0</v>
      </c>
      <c r="O7">
        <f t="shared" si="3"/>
        <v>0</v>
      </c>
      <c r="P7">
        <f t="shared" si="4"/>
        <v>0</v>
      </c>
      <c r="Q7">
        <f t="shared" si="5"/>
        <v>0</v>
      </c>
      <c r="R7">
        <f t="shared" si="6"/>
        <v>0</v>
      </c>
      <c r="S7">
        <f t="shared" si="7"/>
        <v>0</v>
      </c>
      <c r="T7">
        <f t="shared" si="8"/>
        <v>0</v>
      </c>
      <c r="U7">
        <f t="shared" si="9"/>
        <v>0</v>
      </c>
      <c r="V7">
        <f t="shared" si="10"/>
        <v>0</v>
      </c>
      <c r="W7">
        <f t="shared" si="11"/>
        <v>0</v>
      </c>
      <c r="X7">
        <f t="shared" si="12"/>
        <v>0</v>
      </c>
      <c r="Y7">
        <f t="shared" si="13"/>
        <v>0</v>
      </c>
      <c r="Z7">
        <f t="shared" si="14"/>
        <v>0</v>
      </c>
      <c r="AA7">
        <f t="shared" si="15"/>
        <v>0</v>
      </c>
      <c r="AB7">
        <f t="shared" si="16"/>
        <v>0</v>
      </c>
      <c r="AC7">
        <f t="shared" si="17"/>
        <v>0</v>
      </c>
      <c r="AD7">
        <f t="shared" si="18"/>
        <v>0</v>
      </c>
      <c r="AE7">
        <f t="shared" si="19"/>
        <v>0</v>
      </c>
      <c r="AF7">
        <f t="shared" si="20"/>
        <v>0</v>
      </c>
      <c r="AG7">
        <f t="shared" si="21"/>
        <v>0</v>
      </c>
      <c r="AH7">
        <f t="shared" si="22"/>
        <v>0</v>
      </c>
      <c r="AI7">
        <f t="shared" si="23"/>
        <v>0</v>
      </c>
      <c r="AJ7">
        <f t="shared" si="24"/>
        <v>0</v>
      </c>
      <c r="AK7">
        <f t="shared" si="25"/>
        <v>0</v>
      </c>
      <c r="AL7">
        <f t="shared" si="26"/>
        <v>0</v>
      </c>
    </row>
    <row r="8" spans="1:38" ht="12.75">
      <c r="A8" s="1" t="s">
        <v>144</v>
      </c>
      <c r="B8" s="1" t="s">
        <v>146</v>
      </c>
      <c r="C8" s="1" t="s">
        <v>32</v>
      </c>
      <c r="D8" s="1">
        <v>40</v>
      </c>
      <c r="E8" s="1"/>
      <c r="I8" s="4">
        <f t="shared" si="0"/>
        <v>0</v>
      </c>
      <c r="J8" s="2">
        <f t="shared" si="1"/>
        <v>0</v>
      </c>
      <c r="N8">
        <f t="shared" si="2"/>
        <v>0</v>
      </c>
      <c r="O8">
        <f t="shared" si="3"/>
        <v>0</v>
      </c>
      <c r="P8">
        <f t="shared" si="4"/>
        <v>0</v>
      </c>
      <c r="Q8">
        <f t="shared" si="5"/>
        <v>0</v>
      </c>
      <c r="R8">
        <f t="shared" si="6"/>
        <v>0</v>
      </c>
      <c r="S8">
        <f t="shared" si="7"/>
        <v>0</v>
      </c>
      <c r="T8">
        <f t="shared" si="8"/>
        <v>0</v>
      </c>
      <c r="U8">
        <f t="shared" si="9"/>
        <v>0</v>
      </c>
      <c r="V8">
        <f t="shared" si="10"/>
        <v>0</v>
      </c>
      <c r="W8">
        <f t="shared" si="11"/>
        <v>0</v>
      </c>
      <c r="X8">
        <f t="shared" si="12"/>
        <v>0</v>
      </c>
      <c r="Y8">
        <f t="shared" si="13"/>
        <v>0</v>
      </c>
      <c r="Z8">
        <f t="shared" si="14"/>
        <v>0</v>
      </c>
      <c r="AA8">
        <f t="shared" si="15"/>
        <v>0</v>
      </c>
      <c r="AB8">
        <f t="shared" si="16"/>
        <v>0</v>
      </c>
      <c r="AC8">
        <f t="shared" si="17"/>
        <v>0</v>
      </c>
      <c r="AD8">
        <f t="shared" si="18"/>
        <v>0</v>
      </c>
      <c r="AE8">
        <f t="shared" si="19"/>
        <v>0</v>
      </c>
      <c r="AF8">
        <f t="shared" si="20"/>
        <v>0</v>
      </c>
      <c r="AG8">
        <f t="shared" si="21"/>
        <v>0</v>
      </c>
      <c r="AH8">
        <f t="shared" si="22"/>
        <v>0</v>
      </c>
      <c r="AI8">
        <f t="shared" si="23"/>
        <v>0</v>
      </c>
      <c r="AJ8">
        <f t="shared" si="24"/>
        <v>0</v>
      </c>
      <c r="AK8">
        <f t="shared" si="25"/>
        <v>0</v>
      </c>
      <c r="AL8">
        <f t="shared" si="26"/>
        <v>0</v>
      </c>
    </row>
    <row r="9" spans="1:38" ht="12.75">
      <c r="A9" s="1" t="s">
        <v>94</v>
      </c>
      <c r="B9" s="1" t="s">
        <v>93</v>
      </c>
      <c r="C9" s="1" t="s">
        <v>41</v>
      </c>
      <c r="D9" s="1">
        <v>40</v>
      </c>
      <c r="I9" s="4">
        <f t="shared" si="0"/>
        <v>0</v>
      </c>
      <c r="J9" s="2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  <c r="Q9">
        <f t="shared" si="5"/>
        <v>0</v>
      </c>
      <c r="R9">
        <f t="shared" si="6"/>
        <v>0</v>
      </c>
      <c r="S9">
        <f t="shared" si="7"/>
        <v>0</v>
      </c>
      <c r="T9">
        <f t="shared" si="8"/>
        <v>0</v>
      </c>
      <c r="U9">
        <f t="shared" si="9"/>
        <v>0</v>
      </c>
      <c r="V9">
        <f t="shared" si="10"/>
        <v>0</v>
      </c>
      <c r="W9">
        <f t="shared" si="11"/>
        <v>0</v>
      </c>
      <c r="X9">
        <f t="shared" si="12"/>
        <v>0</v>
      </c>
      <c r="Y9">
        <f t="shared" si="13"/>
        <v>0</v>
      </c>
      <c r="Z9">
        <f t="shared" si="14"/>
        <v>0</v>
      </c>
      <c r="AA9">
        <f t="shared" si="15"/>
        <v>0</v>
      </c>
      <c r="AB9">
        <f t="shared" si="16"/>
        <v>0</v>
      </c>
      <c r="AC9">
        <f t="shared" si="17"/>
        <v>0</v>
      </c>
      <c r="AD9">
        <f t="shared" si="18"/>
        <v>0</v>
      </c>
      <c r="AE9">
        <f t="shared" si="19"/>
        <v>0</v>
      </c>
      <c r="AF9">
        <f t="shared" si="20"/>
        <v>0</v>
      </c>
      <c r="AG9">
        <f t="shared" si="21"/>
        <v>0</v>
      </c>
      <c r="AH9">
        <f t="shared" si="22"/>
        <v>0</v>
      </c>
      <c r="AI9">
        <f t="shared" si="23"/>
        <v>0</v>
      </c>
      <c r="AJ9">
        <f t="shared" si="24"/>
        <v>0</v>
      </c>
      <c r="AK9">
        <f t="shared" si="25"/>
        <v>0</v>
      </c>
      <c r="AL9">
        <f t="shared" si="26"/>
        <v>0</v>
      </c>
    </row>
    <row r="10" spans="1:38" ht="12.75">
      <c r="A10" s="1" t="s">
        <v>142</v>
      </c>
      <c r="B10" s="1" t="s">
        <v>146</v>
      </c>
      <c r="C10" s="1" t="s">
        <v>32</v>
      </c>
      <c r="D10" s="1">
        <v>30</v>
      </c>
      <c r="I10" s="4">
        <f t="shared" si="0"/>
        <v>0</v>
      </c>
      <c r="J10" s="2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  <c r="Q10">
        <f t="shared" si="5"/>
        <v>0</v>
      </c>
      <c r="R10">
        <f t="shared" si="6"/>
        <v>0</v>
      </c>
      <c r="S10">
        <f t="shared" si="7"/>
        <v>0</v>
      </c>
      <c r="T10">
        <f t="shared" si="8"/>
        <v>0</v>
      </c>
      <c r="U10">
        <f t="shared" si="9"/>
        <v>0</v>
      </c>
      <c r="V10">
        <f t="shared" si="10"/>
        <v>0</v>
      </c>
      <c r="W10">
        <f t="shared" si="11"/>
        <v>0</v>
      </c>
      <c r="X10">
        <f t="shared" si="12"/>
        <v>0</v>
      </c>
      <c r="Y10">
        <f t="shared" si="13"/>
        <v>0</v>
      </c>
      <c r="Z10">
        <f t="shared" si="14"/>
        <v>0</v>
      </c>
      <c r="AA10">
        <f t="shared" si="15"/>
        <v>0</v>
      </c>
      <c r="AB10">
        <f t="shared" si="16"/>
        <v>0</v>
      </c>
      <c r="AC10">
        <f t="shared" si="17"/>
        <v>0</v>
      </c>
      <c r="AD10">
        <f t="shared" si="18"/>
        <v>0</v>
      </c>
      <c r="AE10">
        <f t="shared" si="19"/>
        <v>0</v>
      </c>
      <c r="AF10">
        <f t="shared" si="20"/>
        <v>0</v>
      </c>
      <c r="AG10">
        <f t="shared" si="21"/>
        <v>0</v>
      </c>
      <c r="AH10">
        <f t="shared" si="22"/>
        <v>0</v>
      </c>
      <c r="AI10">
        <f t="shared" si="23"/>
        <v>0</v>
      </c>
      <c r="AJ10">
        <f t="shared" si="24"/>
        <v>0</v>
      </c>
      <c r="AK10">
        <f t="shared" si="25"/>
        <v>0</v>
      </c>
      <c r="AL10">
        <f t="shared" si="26"/>
        <v>0</v>
      </c>
    </row>
    <row r="11" spans="1:38" ht="12.75">
      <c r="A11" s="1" t="s">
        <v>139</v>
      </c>
      <c r="B11" s="1" t="s">
        <v>146</v>
      </c>
      <c r="C11" s="1" t="s">
        <v>32</v>
      </c>
      <c r="D11" s="1">
        <v>25</v>
      </c>
      <c r="E11" s="3">
        <v>170725</v>
      </c>
      <c r="I11" s="4">
        <f t="shared" si="0"/>
        <v>170725</v>
      </c>
      <c r="J11" s="2">
        <f t="shared" si="1"/>
        <v>603</v>
      </c>
      <c r="N11">
        <f t="shared" si="2"/>
        <v>211.25</v>
      </c>
      <c r="O11">
        <f t="shared" si="3"/>
        <v>603</v>
      </c>
      <c r="P11">
        <f t="shared" si="4"/>
        <v>0</v>
      </c>
      <c r="Q11">
        <f t="shared" si="5"/>
        <v>0</v>
      </c>
      <c r="R11">
        <f t="shared" si="6"/>
        <v>0</v>
      </c>
      <c r="S11">
        <f t="shared" si="7"/>
        <v>0</v>
      </c>
      <c r="T11">
        <f t="shared" si="8"/>
        <v>0</v>
      </c>
      <c r="U11">
        <f t="shared" si="9"/>
        <v>0</v>
      </c>
      <c r="V11">
        <f t="shared" si="10"/>
        <v>0</v>
      </c>
      <c r="W11">
        <f t="shared" si="11"/>
        <v>0</v>
      </c>
      <c r="X11">
        <f t="shared" si="12"/>
        <v>0</v>
      </c>
      <c r="Y11">
        <f t="shared" si="13"/>
        <v>0</v>
      </c>
      <c r="Z11">
        <f t="shared" si="14"/>
        <v>0</v>
      </c>
      <c r="AA11">
        <f t="shared" si="15"/>
        <v>0</v>
      </c>
      <c r="AB11">
        <f t="shared" si="16"/>
        <v>0</v>
      </c>
      <c r="AC11">
        <f t="shared" si="17"/>
        <v>0</v>
      </c>
      <c r="AD11">
        <f t="shared" si="18"/>
        <v>0</v>
      </c>
      <c r="AE11">
        <f t="shared" si="19"/>
        <v>0</v>
      </c>
      <c r="AF11">
        <f t="shared" si="20"/>
        <v>0</v>
      </c>
      <c r="AG11">
        <f t="shared" si="21"/>
        <v>0</v>
      </c>
      <c r="AH11">
        <f t="shared" si="22"/>
        <v>0</v>
      </c>
      <c r="AI11">
        <f t="shared" si="23"/>
        <v>0</v>
      </c>
      <c r="AJ11">
        <f t="shared" si="24"/>
        <v>0</v>
      </c>
      <c r="AK11">
        <f t="shared" si="25"/>
        <v>0</v>
      </c>
      <c r="AL11">
        <f t="shared" si="26"/>
        <v>0</v>
      </c>
    </row>
    <row r="12" spans="1:38" ht="12.75" customHeight="1">
      <c r="A12" s="1" t="s">
        <v>106</v>
      </c>
      <c r="B12" s="1" t="s">
        <v>51</v>
      </c>
      <c r="C12" s="1" t="s">
        <v>32</v>
      </c>
      <c r="D12" s="1">
        <v>25</v>
      </c>
      <c r="E12" s="3">
        <v>180400</v>
      </c>
      <c r="I12" s="4">
        <f t="shared" si="0"/>
        <v>180400</v>
      </c>
      <c r="J12" s="2">
        <f t="shared" si="1"/>
        <v>628</v>
      </c>
      <c r="N12">
        <f t="shared" si="2"/>
        <v>220</v>
      </c>
      <c r="O12">
        <f t="shared" si="3"/>
        <v>628</v>
      </c>
      <c r="P12">
        <f t="shared" si="4"/>
        <v>0</v>
      </c>
      <c r="Q12">
        <f t="shared" si="5"/>
        <v>0</v>
      </c>
      <c r="R12">
        <f t="shared" si="6"/>
        <v>0</v>
      </c>
      <c r="S12">
        <f t="shared" si="7"/>
        <v>0</v>
      </c>
      <c r="T12">
        <f t="shared" si="8"/>
        <v>0</v>
      </c>
      <c r="U12">
        <f t="shared" si="9"/>
        <v>0</v>
      </c>
      <c r="V12">
        <f t="shared" si="10"/>
        <v>0</v>
      </c>
      <c r="W12">
        <f t="shared" si="11"/>
        <v>0</v>
      </c>
      <c r="X12">
        <f t="shared" si="12"/>
        <v>0</v>
      </c>
      <c r="Y12">
        <f t="shared" si="13"/>
        <v>0</v>
      </c>
      <c r="Z12">
        <f t="shared" si="14"/>
        <v>0</v>
      </c>
      <c r="AA12">
        <f t="shared" si="15"/>
        <v>0</v>
      </c>
      <c r="AB12">
        <f t="shared" si="16"/>
        <v>0</v>
      </c>
      <c r="AC12">
        <f t="shared" si="17"/>
        <v>0</v>
      </c>
      <c r="AD12">
        <f t="shared" si="18"/>
        <v>0</v>
      </c>
      <c r="AE12">
        <f t="shared" si="19"/>
        <v>0</v>
      </c>
      <c r="AF12">
        <f t="shared" si="20"/>
        <v>0</v>
      </c>
      <c r="AG12">
        <f t="shared" si="21"/>
        <v>0</v>
      </c>
      <c r="AH12">
        <f t="shared" si="22"/>
        <v>0</v>
      </c>
      <c r="AI12">
        <f t="shared" si="23"/>
        <v>0</v>
      </c>
      <c r="AJ12">
        <f t="shared" si="24"/>
        <v>0</v>
      </c>
      <c r="AK12">
        <f t="shared" si="25"/>
        <v>0</v>
      </c>
      <c r="AL12">
        <f t="shared" si="26"/>
        <v>0</v>
      </c>
    </row>
    <row r="13" spans="1:38" ht="12.75">
      <c r="A13" s="1" t="s">
        <v>43</v>
      </c>
      <c r="B13" s="1" t="s">
        <v>33</v>
      </c>
      <c r="C13" s="1" t="s">
        <v>32</v>
      </c>
      <c r="D13" s="1">
        <v>40</v>
      </c>
      <c r="I13" s="4">
        <f t="shared" si="0"/>
        <v>0</v>
      </c>
      <c r="J13" s="2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0</v>
      </c>
      <c r="T13">
        <f t="shared" si="8"/>
        <v>0</v>
      </c>
      <c r="U13">
        <f t="shared" si="9"/>
        <v>0</v>
      </c>
      <c r="V13">
        <f t="shared" si="10"/>
        <v>0</v>
      </c>
      <c r="W13">
        <f t="shared" si="11"/>
        <v>0</v>
      </c>
      <c r="X13">
        <f>IF(AND(C13="M",D13=70),INT(N13/182*1000),0)</f>
        <v>0</v>
      </c>
      <c r="Y13">
        <f>IF(AND(C13="M",D13=75),INT(N13/170.25*1000),0)</f>
        <v>0</v>
      </c>
      <c r="Z13">
        <f>IF(AND(D13="M",D13=80),INT(N13/144.5*1000),0)</f>
        <v>0</v>
      </c>
      <c r="AA13">
        <f t="shared" si="15"/>
        <v>0</v>
      </c>
      <c r="AB13">
        <f t="shared" si="16"/>
        <v>0</v>
      </c>
      <c r="AC13">
        <f t="shared" si="17"/>
        <v>0</v>
      </c>
      <c r="AD13">
        <f t="shared" si="18"/>
        <v>0</v>
      </c>
      <c r="AE13">
        <f t="shared" si="19"/>
        <v>0</v>
      </c>
      <c r="AF13">
        <f t="shared" si="20"/>
        <v>0</v>
      </c>
      <c r="AG13">
        <f t="shared" si="21"/>
        <v>0</v>
      </c>
      <c r="AH13">
        <f t="shared" si="22"/>
        <v>0</v>
      </c>
      <c r="AI13">
        <f>IF(AND(C13="F",D13=65),INT(N13/125*1000),0)</f>
        <v>0</v>
      </c>
      <c r="AJ13">
        <f>IF(AND(C13="F",D13=70),INT(N13/123.5*1000),0)</f>
        <v>0</v>
      </c>
      <c r="AK13">
        <f>IF(AND(C13="F",D13=75),INT(N13/122*1000),0)</f>
        <v>0</v>
      </c>
      <c r="AL13">
        <f>IF(AND(C13="F",D13=80),INT(N13/109.5*1000),0)</f>
        <v>0</v>
      </c>
    </row>
    <row r="14" spans="1:38" ht="12.75">
      <c r="A14" s="1" t="s">
        <v>42</v>
      </c>
      <c r="B14" s="1" t="s">
        <v>33</v>
      </c>
      <c r="C14" s="1" t="s">
        <v>32</v>
      </c>
      <c r="D14" s="1">
        <v>50</v>
      </c>
      <c r="E14" s="3">
        <v>140975</v>
      </c>
      <c r="I14" s="4">
        <f t="shared" si="0"/>
        <v>140975</v>
      </c>
      <c r="J14" s="2">
        <f t="shared" si="1"/>
        <v>705</v>
      </c>
      <c r="N14">
        <f t="shared" si="2"/>
        <v>177.75</v>
      </c>
      <c r="O14">
        <f t="shared" si="3"/>
        <v>0</v>
      </c>
      <c r="P14">
        <f t="shared" si="4"/>
        <v>0</v>
      </c>
      <c r="Q14">
        <f t="shared" si="5"/>
        <v>0</v>
      </c>
      <c r="R14">
        <f t="shared" si="6"/>
        <v>0</v>
      </c>
      <c r="S14">
        <f t="shared" si="7"/>
        <v>0</v>
      </c>
      <c r="T14">
        <f t="shared" si="8"/>
        <v>705</v>
      </c>
      <c r="U14">
        <f t="shared" si="9"/>
        <v>0</v>
      </c>
      <c r="V14">
        <f t="shared" si="10"/>
        <v>0</v>
      </c>
      <c r="W14">
        <f t="shared" si="11"/>
        <v>0</v>
      </c>
      <c r="X14">
        <f t="shared" si="12"/>
        <v>0</v>
      </c>
      <c r="Y14">
        <f t="shared" si="13"/>
        <v>0</v>
      </c>
      <c r="Z14">
        <f t="shared" si="14"/>
        <v>0</v>
      </c>
      <c r="AA14">
        <f t="shared" si="15"/>
        <v>0</v>
      </c>
      <c r="AB14">
        <f t="shared" si="16"/>
        <v>0</v>
      </c>
      <c r="AC14">
        <f t="shared" si="17"/>
        <v>0</v>
      </c>
      <c r="AD14">
        <f t="shared" si="18"/>
        <v>0</v>
      </c>
      <c r="AE14">
        <f t="shared" si="19"/>
        <v>0</v>
      </c>
      <c r="AF14">
        <f t="shared" si="20"/>
        <v>0</v>
      </c>
      <c r="AG14">
        <f t="shared" si="21"/>
        <v>0</v>
      </c>
      <c r="AH14">
        <f t="shared" si="22"/>
        <v>0</v>
      </c>
      <c r="AI14">
        <f t="shared" si="23"/>
        <v>0</v>
      </c>
      <c r="AJ14">
        <f t="shared" si="24"/>
        <v>0</v>
      </c>
      <c r="AK14">
        <f t="shared" si="25"/>
        <v>0</v>
      </c>
      <c r="AL14">
        <f t="shared" si="26"/>
        <v>0</v>
      </c>
    </row>
    <row r="15" spans="1:38" ht="12.75">
      <c r="A15" s="1" t="s">
        <v>154</v>
      </c>
      <c r="B15" s="1" t="s">
        <v>146</v>
      </c>
      <c r="C15" s="1" t="s">
        <v>32</v>
      </c>
      <c r="D15" s="1">
        <v>30</v>
      </c>
      <c r="E15" s="3">
        <v>120800</v>
      </c>
      <c r="I15" s="4">
        <f t="shared" si="0"/>
        <v>120800</v>
      </c>
      <c r="J15" s="2">
        <f t="shared" si="1"/>
        <v>460</v>
      </c>
      <c r="N15">
        <f t="shared" si="2"/>
        <v>152</v>
      </c>
      <c r="O15">
        <f t="shared" si="3"/>
        <v>0</v>
      </c>
      <c r="P15">
        <f t="shared" si="4"/>
        <v>460</v>
      </c>
      <c r="Q15">
        <f t="shared" si="5"/>
        <v>0</v>
      </c>
      <c r="R15">
        <f t="shared" si="6"/>
        <v>0</v>
      </c>
      <c r="S15">
        <f t="shared" si="7"/>
        <v>0</v>
      </c>
      <c r="T15">
        <f t="shared" si="8"/>
        <v>0</v>
      </c>
      <c r="U15">
        <f t="shared" si="9"/>
        <v>0</v>
      </c>
      <c r="V15">
        <f t="shared" si="10"/>
        <v>0</v>
      </c>
      <c r="W15">
        <f t="shared" si="11"/>
        <v>0</v>
      </c>
      <c r="X15">
        <f t="shared" si="12"/>
        <v>0</v>
      </c>
      <c r="Y15">
        <f t="shared" si="13"/>
        <v>0</v>
      </c>
      <c r="Z15">
        <f t="shared" si="14"/>
        <v>0</v>
      </c>
      <c r="AA15">
        <f t="shared" si="15"/>
        <v>0</v>
      </c>
      <c r="AB15">
        <f t="shared" si="16"/>
        <v>0</v>
      </c>
      <c r="AC15">
        <f t="shared" si="17"/>
        <v>0</v>
      </c>
      <c r="AD15">
        <f t="shared" si="18"/>
        <v>0</v>
      </c>
      <c r="AE15">
        <f t="shared" si="19"/>
        <v>0</v>
      </c>
      <c r="AF15">
        <f t="shared" si="20"/>
        <v>0</v>
      </c>
      <c r="AG15">
        <f t="shared" si="21"/>
        <v>0</v>
      </c>
      <c r="AH15">
        <f t="shared" si="22"/>
        <v>0</v>
      </c>
      <c r="AI15">
        <f t="shared" si="23"/>
        <v>0</v>
      </c>
      <c r="AJ15">
        <f t="shared" si="24"/>
        <v>0</v>
      </c>
      <c r="AK15">
        <f t="shared" si="25"/>
        <v>0</v>
      </c>
      <c r="AL15">
        <f t="shared" si="26"/>
        <v>0</v>
      </c>
    </row>
    <row r="16" spans="1:38" ht="12.75">
      <c r="A16" s="1" t="s">
        <v>141</v>
      </c>
      <c r="B16" s="1" t="s">
        <v>147</v>
      </c>
      <c r="C16" s="1" t="s">
        <v>32</v>
      </c>
      <c r="D16" s="1">
        <v>35</v>
      </c>
      <c r="E16" s="3">
        <v>110375</v>
      </c>
      <c r="I16" s="4">
        <f t="shared" si="0"/>
        <v>110375</v>
      </c>
      <c r="J16" s="2">
        <f t="shared" si="1"/>
        <v>436</v>
      </c>
      <c r="N16">
        <f t="shared" si="2"/>
        <v>135.75</v>
      </c>
      <c r="O16">
        <f t="shared" si="3"/>
        <v>0</v>
      </c>
      <c r="P16">
        <f t="shared" si="4"/>
        <v>0</v>
      </c>
      <c r="Q16">
        <f t="shared" si="5"/>
        <v>436</v>
      </c>
      <c r="R16">
        <f t="shared" si="6"/>
        <v>0</v>
      </c>
      <c r="S16">
        <f t="shared" si="7"/>
        <v>0</v>
      </c>
      <c r="T16">
        <f t="shared" si="8"/>
        <v>0</v>
      </c>
      <c r="U16">
        <f t="shared" si="9"/>
        <v>0</v>
      </c>
      <c r="V16">
        <f t="shared" si="10"/>
        <v>0</v>
      </c>
      <c r="W16">
        <f t="shared" si="11"/>
        <v>0</v>
      </c>
      <c r="X16">
        <f t="shared" si="12"/>
        <v>0</v>
      </c>
      <c r="Y16">
        <f t="shared" si="13"/>
        <v>0</v>
      </c>
      <c r="Z16">
        <f t="shared" si="14"/>
        <v>0</v>
      </c>
      <c r="AA16">
        <f t="shared" si="15"/>
        <v>0</v>
      </c>
      <c r="AB16">
        <f t="shared" si="16"/>
        <v>0</v>
      </c>
      <c r="AC16">
        <f t="shared" si="17"/>
        <v>0</v>
      </c>
      <c r="AD16">
        <f t="shared" si="18"/>
        <v>0</v>
      </c>
      <c r="AE16">
        <f t="shared" si="19"/>
        <v>0</v>
      </c>
      <c r="AF16">
        <f t="shared" si="20"/>
        <v>0</v>
      </c>
      <c r="AG16">
        <f t="shared" si="21"/>
        <v>0</v>
      </c>
      <c r="AH16">
        <f t="shared" si="22"/>
        <v>0</v>
      </c>
      <c r="AI16">
        <f t="shared" si="23"/>
        <v>0</v>
      </c>
      <c r="AJ16">
        <f t="shared" si="24"/>
        <v>0</v>
      </c>
      <c r="AK16">
        <f t="shared" si="25"/>
        <v>0</v>
      </c>
      <c r="AL16">
        <f t="shared" si="26"/>
        <v>0</v>
      </c>
    </row>
    <row r="17" spans="1:38" ht="12.75">
      <c r="A17" s="1" t="s">
        <v>140</v>
      </c>
      <c r="B17" s="1" t="s">
        <v>147</v>
      </c>
      <c r="C17" s="1" t="s">
        <v>41</v>
      </c>
      <c r="D17" s="1">
        <v>35</v>
      </c>
      <c r="E17" s="3">
        <v>81150</v>
      </c>
      <c r="I17" s="4">
        <f t="shared" si="0"/>
        <v>81150</v>
      </c>
      <c r="J17" s="2">
        <f t="shared" si="1"/>
        <v>451</v>
      </c>
      <c r="N17">
        <f t="shared" si="2"/>
        <v>107.5</v>
      </c>
      <c r="O17">
        <f t="shared" si="3"/>
        <v>0</v>
      </c>
      <c r="P17">
        <f t="shared" si="4"/>
        <v>0</v>
      </c>
      <c r="Q17">
        <f t="shared" si="5"/>
        <v>0</v>
      </c>
      <c r="R17">
        <f t="shared" si="6"/>
        <v>0</v>
      </c>
      <c r="S17">
        <f t="shared" si="7"/>
        <v>0</v>
      </c>
      <c r="T17">
        <f t="shared" si="8"/>
        <v>0</v>
      </c>
      <c r="U17">
        <f t="shared" si="9"/>
        <v>0</v>
      </c>
      <c r="V17">
        <f t="shared" si="10"/>
        <v>0</v>
      </c>
      <c r="W17">
        <f t="shared" si="11"/>
        <v>0</v>
      </c>
      <c r="X17">
        <f t="shared" si="12"/>
        <v>0</v>
      </c>
      <c r="Y17">
        <f t="shared" si="13"/>
        <v>0</v>
      </c>
      <c r="Z17">
        <f t="shared" si="14"/>
        <v>0</v>
      </c>
      <c r="AA17">
        <f t="shared" si="15"/>
        <v>0</v>
      </c>
      <c r="AB17">
        <f t="shared" si="16"/>
        <v>0</v>
      </c>
      <c r="AC17">
        <f t="shared" si="17"/>
        <v>451</v>
      </c>
      <c r="AD17">
        <f t="shared" si="18"/>
        <v>0</v>
      </c>
      <c r="AE17">
        <f t="shared" si="19"/>
        <v>0</v>
      </c>
      <c r="AF17">
        <f t="shared" si="20"/>
        <v>0</v>
      </c>
      <c r="AG17">
        <f t="shared" si="21"/>
        <v>0</v>
      </c>
      <c r="AH17">
        <f t="shared" si="22"/>
        <v>0</v>
      </c>
      <c r="AI17">
        <f t="shared" si="23"/>
        <v>0</v>
      </c>
      <c r="AJ17">
        <f t="shared" si="24"/>
        <v>0</v>
      </c>
      <c r="AK17">
        <f t="shared" si="25"/>
        <v>0</v>
      </c>
      <c r="AL17">
        <f t="shared" si="26"/>
        <v>0</v>
      </c>
    </row>
    <row r="18" spans="1:38" ht="12.75">
      <c r="A18" s="1" t="s">
        <v>155</v>
      </c>
      <c r="B18" s="1" t="s">
        <v>147</v>
      </c>
      <c r="C18" s="1" t="s">
        <v>41</v>
      </c>
      <c r="D18" s="1">
        <v>30</v>
      </c>
      <c r="E18" s="3">
        <v>111125</v>
      </c>
      <c r="I18" s="4">
        <f t="shared" si="0"/>
        <v>111125</v>
      </c>
      <c r="J18" s="2">
        <f t="shared" si="1"/>
        <v>557</v>
      </c>
      <c r="N18">
        <f t="shared" si="2"/>
        <v>143.25</v>
      </c>
      <c r="O18">
        <f t="shared" si="3"/>
        <v>0</v>
      </c>
      <c r="P18">
        <f t="shared" si="4"/>
        <v>0</v>
      </c>
      <c r="Q18">
        <f t="shared" si="5"/>
        <v>0</v>
      </c>
      <c r="R18">
        <f t="shared" si="6"/>
        <v>0</v>
      </c>
      <c r="S18">
        <f t="shared" si="7"/>
        <v>0</v>
      </c>
      <c r="T18">
        <f t="shared" si="8"/>
        <v>0</v>
      </c>
      <c r="U18">
        <f t="shared" si="9"/>
        <v>0</v>
      </c>
      <c r="V18">
        <f t="shared" si="10"/>
        <v>0</v>
      </c>
      <c r="W18">
        <f t="shared" si="11"/>
        <v>0</v>
      </c>
      <c r="X18">
        <f t="shared" si="12"/>
        <v>0</v>
      </c>
      <c r="Y18">
        <f t="shared" si="13"/>
        <v>0</v>
      </c>
      <c r="Z18">
        <f t="shared" si="14"/>
        <v>0</v>
      </c>
      <c r="AA18">
        <f t="shared" si="15"/>
        <v>0</v>
      </c>
      <c r="AB18">
        <f t="shared" si="16"/>
        <v>557</v>
      </c>
      <c r="AC18">
        <f t="shared" si="17"/>
        <v>0</v>
      </c>
      <c r="AD18">
        <f t="shared" si="18"/>
        <v>0</v>
      </c>
      <c r="AE18">
        <f t="shared" si="19"/>
        <v>0</v>
      </c>
      <c r="AF18">
        <f t="shared" si="20"/>
        <v>0</v>
      </c>
      <c r="AG18">
        <f t="shared" si="21"/>
        <v>0</v>
      </c>
      <c r="AH18">
        <f t="shared" si="22"/>
        <v>0</v>
      </c>
      <c r="AI18">
        <f t="shared" si="23"/>
        <v>0</v>
      </c>
      <c r="AJ18">
        <f t="shared" si="24"/>
        <v>0</v>
      </c>
      <c r="AK18">
        <f t="shared" si="25"/>
        <v>0</v>
      </c>
      <c r="AL18">
        <f t="shared" si="26"/>
        <v>0</v>
      </c>
    </row>
    <row r="19" spans="1:38" ht="12.75">
      <c r="A19" s="1" t="s">
        <v>102</v>
      </c>
      <c r="B19" s="1" t="s">
        <v>51</v>
      </c>
      <c r="C19" s="1" t="s">
        <v>32</v>
      </c>
      <c r="D19" s="1">
        <v>45</v>
      </c>
      <c r="E19" s="3">
        <v>130050</v>
      </c>
      <c r="I19" s="4">
        <f t="shared" si="0"/>
        <v>130050</v>
      </c>
      <c r="J19" s="2">
        <f t="shared" si="1"/>
        <v>575</v>
      </c>
      <c r="N19">
        <f t="shared" si="2"/>
        <v>156.5</v>
      </c>
      <c r="O19">
        <f t="shared" si="3"/>
        <v>0</v>
      </c>
      <c r="P19">
        <f t="shared" si="4"/>
        <v>0</v>
      </c>
      <c r="Q19">
        <f t="shared" si="5"/>
        <v>0</v>
      </c>
      <c r="R19">
        <f t="shared" si="6"/>
        <v>0</v>
      </c>
      <c r="S19">
        <f t="shared" si="7"/>
        <v>575</v>
      </c>
      <c r="T19">
        <f t="shared" si="8"/>
        <v>0</v>
      </c>
      <c r="U19">
        <f t="shared" si="9"/>
        <v>0</v>
      </c>
      <c r="V19">
        <f t="shared" si="10"/>
        <v>0</v>
      </c>
      <c r="W19">
        <f t="shared" si="11"/>
        <v>0</v>
      </c>
      <c r="X19">
        <f t="shared" si="12"/>
        <v>0</v>
      </c>
      <c r="Y19">
        <f t="shared" si="13"/>
        <v>0</v>
      </c>
      <c r="Z19">
        <f t="shared" si="14"/>
        <v>0</v>
      </c>
      <c r="AA19">
        <f t="shared" si="15"/>
        <v>0</v>
      </c>
      <c r="AB19">
        <f t="shared" si="16"/>
        <v>0</v>
      </c>
      <c r="AC19">
        <f t="shared" si="17"/>
        <v>0</v>
      </c>
      <c r="AD19">
        <f t="shared" si="18"/>
        <v>0</v>
      </c>
      <c r="AE19">
        <f t="shared" si="19"/>
        <v>0</v>
      </c>
      <c r="AF19">
        <f t="shared" si="20"/>
        <v>0</v>
      </c>
      <c r="AG19">
        <f t="shared" si="21"/>
        <v>0</v>
      </c>
      <c r="AH19">
        <f t="shared" si="22"/>
        <v>0</v>
      </c>
      <c r="AI19">
        <f t="shared" si="23"/>
        <v>0</v>
      </c>
      <c r="AJ19">
        <f t="shared" si="24"/>
        <v>0</v>
      </c>
      <c r="AK19">
        <f t="shared" si="25"/>
        <v>0</v>
      </c>
      <c r="AL19">
        <f t="shared" si="26"/>
        <v>0</v>
      </c>
    </row>
    <row r="20" spans="1:38" ht="12.75">
      <c r="A20" s="1" t="s">
        <v>156</v>
      </c>
      <c r="B20" s="1" t="s">
        <v>51</v>
      </c>
      <c r="C20" s="1" t="s">
        <v>41</v>
      </c>
      <c r="D20" s="1">
        <v>70</v>
      </c>
      <c r="E20" s="3">
        <v>70800</v>
      </c>
      <c r="I20" s="4">
        <f t="shared" si="0"/>
        <v>70800</v>
      </c>
      <c r="J20" s="2">
        <f t="shared" si="1"/>
        <v>744</v>
      </c>
      <c r="N20">
        <f>SUM((INT(I20/10000)*12)+((I20-((INT(I20/10000)*12)/12*10000))/100))</f>
        <v>92</v>
      </c>
      <c r="O20">
        <f>IF(AND(C20="M",D20=25),INT(N20/350*1000),0)</f>
        <v>0</v>
      </c>
      <c r="P20">
        <f>IF(AND(C20="M",D20=30),INT(N20/330*1000),0)</f>
        <v>0</v>
      </c>
      <c r="Q20">
        <f>IF(AND(C20="M",D20=35),INT(N20/311*1000),0)</f>
        <v>0</v>
      </c>
      <c r="R20">
        <f>IF(AND(C20="M",D20=40),INT(N20/291*1000),0)</f>
        <v>0</v>
      </c>
      <c r="S20">
        <f>IF(AND(C20="M",D20=45),INT(N20/272*1000),0)</f>
        <v>0</v>
      </c>
      <c r="T20">
        <f>IF(AND(C20="M",D20=50),INT(N20/252*1000),0)</f>
        <v>0</v>
      </c>
      <c r="U20">
        <f>IF(AND(C20="M",D20=55),INT(N20/233*1000),0)</f>
        <v>0</v>
      </c>
      <c r="V20">
        <f>IF(AND(C20="M",D20=60),INT(N20/213*1000),0)</f>
        <v>0</v>
      </c>
      <c r="W20">
        <f>IF(AND(C20="M",D20=65),INT(N20/194*1000),0)</f>
        <v>0</v>
      </c>
      <c r="X20">
        <f>IF(AND(C20="M",D20=70),INT(N20/182*1000),0)</f>
        <v>0</v>
      </c>
      <c r="Y20">
        <f>IF(AND(C20="M",D20=75),INT(N20/170.25*1000),0)</f>
        <v>0</v>
      </c>
      <c r="Z20">
        <f>IF(AND(D20="M",D20=80),INT(N20/144.5*1000),0)</f>
        <v>0</v>
      </c>
      <c r="AA20">
        <f>IF(AND(C20="F",D20=25),INT(N20/276*1000),0)</f>
        <v>0</v>
      </c>
      <c r="AB20">
        <f>IF(AND(C20="F",D20=30),INT(N20/257*1000),0)</f>
        <v>0</v>
      </c>
      <c r="AC20">
        <f>IF(AND(C20="F",D20=35),INT(N20/238*1000),0)</f>
        <v>0</v>
      </c>
      <c r="AD20">
        <f>IF(AND(C20="F",D20=40),INT(N20/219*1000),0)</f>
        <v>0</v>
      </c>
      <c r="AE20">
        <f>IF(AND(C20="F",D20=45),INT(N20/201*1000),0)</f>
        <v>0</v>
      </c>
      <c r="AF20">
        <f>IF(AND(C20="F",D20=50),INT(N20/182*1000),0)</f>
        <v>0</v>
      </c>
      <c r="AG20">
        <f>IF(AND(C20="F",D20=55),INT(N20/163*1000),0)</f>
        <v>0</v>
      </c>
      <c r="AH20">
        <f>IF(AND(C20="F",D20=60),INT(N20/144*1000),0)</f>
        <v>0</v>
      </c>
      <c r="AI20">
        <f>IF(AND(C20="F",D20=65),INT(N20/125*1000),0)</f>
        <v>0</v>
      </c>
      <c r="AJ20">
        <f>IF(AND(C20="F",D20=70),INT(N20/123.5*1000),0)</f>
        <v>744</v>
      </c>
      <c r="AK20">
        <f>IF(AND(C20="F",D20=75),INT(N20/122*1000),0)</f>
        <v>0</v>
      </c>
      <c r="AL20">
        <f>IF(AND(C20="F",D20=80),INT(N20/109.5*1000),0)</f>
        <v>0</v>
      </c>
    </row>
    <row r="21" spans="9:38" ht="12.75">
      <c r="I21" s="4">
        <f t="shared" si="0"/>
        <v>0</v>
      </c>
      <c r="J21" s="2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  <c r="R21">
        <f t="shared" si="6"/>
        <v>0</v>
      </c>
      <c r="S21">
        <f t="shared" si="7"/>
        <v>0</v>
      </c>
      <c r="T21">
        <f t="shared" si="8"/>
        <v>0</v>
      </c>
      <c r="U21">
        <f t="shared" si="9"/>
        <v>0</v>
      </c>
      <c r="V21">
        <f t="shared" si="10"/>
        <v>0</v>
      </c>
      <c r="W21">
        <f t="shared" si="11"/>
        <v>0</v>
      </c>
      <c r="X21">
        <f t="shared" si="12"/>
        <v>0</v>
      </c>
      <c r="Y21">
        <f t="shared" si="13"/>
        <v>0</v>
      </c>
      <c r="Z21">
        <f t="shared" si="14"/>
        <v>0</v>
      </c>
      <c r="AA21">
        <f t="shared" si="15"/>
        <v>0</v>
      </c>
      <c r="AB21">
        <f t="shared" si="16"/>
        <v>0</v>
      </c>
      <c r="AC21">
        <f t="shared" si="17"/>
        <v>0</v>
      </c>
      <c r="AD21">
        <f t="shared" si="18"/>
        <v>0</v>
      </c>
      <c r="AE21">
        <f t="shared" si="19"/>
        <v>0</v>
      </c>
      <c r="AF21">
        <f t="shared" si="20"/>
        <v>0</v>
      </c>
      <c r="AG21">
        <f t="shared" si="21"/>
        <v>0</v>
      </c>
      <c r="AH21">
        <f t="shared" si="22"/>
        <v>0</v>
      </c>
      <c r="AI21">
        <f t="shared" si="23"/>
        <v>0</v>
      </c>
      <c r="AJ21">
        <f t="shared" si="24"/>
        <v>0</v>
      </c>
      <c r="AK21">
        <f t="shared" si="25"/>
        <v>0</v>
      </c>
      <c r="AL21">
        <f t="shared" si="26"/>
        <v>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workbookViewId="0" topLeftCell="A1">
      <selection activeCell="AG15" sqref="AG15"/>
    </sheetView>
  </sheetViews>
  <sheetFormatPr defaultColWidth="9.140625" defaultRowHeight="12.75"/>
  <cols>
    <col min="1" max="1" width="3.00390625" style="11" bestFit="1" customWidth="1"/>
    <col min="2" max="2" width="17.00390625" style="11" bestFit="1" customWidth="1"/>
    <col min="3" max="3" width="9.00390625" style="11" bestFit="1" customWidth="1"/>
    <col min="4" max="4" width="4.00390625" style="11" bestFit="1" customWidth="1"/>
    <col min="5" max="5" width="4.140625" style="13" bestFit="1" customWidth="1"/>
    <col min="6" max="6" width="12.57421875" style="12" customWidth="1"/>
    <col min="7" max="7" width="5.8515625" style="13" bestFit="1" customWidth="1"/>
    <col min="8" max="8" width="5.140625" style="11" hidden="1" customWidth="1"/>
    <col min="9" max="32" width="3.00390625" style="0" hidden="1" customWidth="1"/>
    <col min="33" max="33" width="5.57421875" style="21" bestFit="1" customWidth="1"/>
    <col min="34" max="16384" width="9.140625" style="11" customWidth="1"/>
  </cols>
  <sheetData>
    <row r="1" spans="1:32" ht="25.5">
      <c r="A1" s="11" t="s">
        <v>57</v>
      </c>
      <c r="B1" s="11" t="s">
        <v>53</v>
      </c>
      <c r="C1" s="11" t="s">
        <v>54</v>
      </c>
      <c r="D1" s="11" t="s">
        <v>0</v>
      </c>
      <c r="E1" s="13" t="s">
        <v>1</v>
      </c>
      <c r="F1" s="12" t="s">
        <v>55</v>
      </c>
      <c r="G1" s="13" t="s">
        <v>7</v>
      </c>
      <c r="H1" s="11" t="s">
        <v>56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18</v>
      </c>
      <c r="P1" s="9" t="s">
        <v>19</v>
      </c>
      <c r="Q1" s="9" t="s">
        <v>20</v>
      </c>
      <c r="R1" s="9" t="s">
        <v>38</v>
      </c>
      <c r="S1" s="9" t="s">
        <v>39</v>
      </c>
      <c r="T1" s="9" t="s">
        <v>40</v>
      </c>
      <c r="U1" s="9" t="s">
        <v>21</v>
      </c>
      <c r="V1" s="9" t="s">
        <v>22</v>
      </c>
      <c r="W1" s="9" t="s">
        <v>23</v>
      </c>
      <c r="X1" s="9" t="s">
        <v>24</v>
      </c>
      <c r="Y1" s="9" t="s">
        <v>25</v>
      </c>
      <c r="Z1" s="9" t="s">
        <v>26</v>
      </c>
      <c r="AA1" s="9" t="s">
        <v>27</v>
      </c>
      <c r="AB1" s="9" t="s">
        <v>28</v>
      </c>
      <c r="AC1" s="9" t="s">
        <v>29</v>
      </c>
      <c r="AD1" s="9" t="s">
        <v>35</v>
      </c>
      <c r="AE1" s="9" t="s">
        <v>36</v>
      </c>
      <c r="AF1" s="9" t="s">
        <v>37</v>
      </c>
    </row>
    <row r="2" spans="1:32" ht="12.75">
      <c r="A2" s="11" t="s">
        <v>78</v>
      </c>
      <c r="B2" s="11" t="s">
        <v>136</v>
      </c>
      <c r="C2" s="11" t="s">
        <v>129</v>
      </c>
      <c r="D2" s="11" t="s">
        <v>41</v>
      </c>
      <c r="E2" s="13">
        <v>30</v>
      </c>
      <c r="F2" s="12">
        <v>23111</v>
      </c>
      <c r="G2" s="14">
        <f aca="true" t="shared" si="0" ref="G2:G38">SUM(I2:AF2)</f>
        <v>763</v>
      </c>
      <c r="H2" s="2">
        <f aca="true" t="shared" si="1" ref="H2:H37">SUM((INT(F2/1000)*60)+(F2-((INT(F2/1000)*1000)))/10)</f>
        <v>1391.1</v>
      </c>
      <c r="I2">
        <f aca="true" t="shared" si="2" ref="I2:I31">IF(AND(D2="M",E2=25),INT(895/H2*1000),0)</f>
        <v>0</v>
      </c>
      <c r="J2">
        <f aca="true" t="shared" si="3" ref="J2:J31">IF(AND(D2="M",E2=30),INT(895/H2*1000),0)</f>
        <v>0</v>
      </c>
      <c r="K2">
        <f aca="true" t="shared" si="4" ref="K2:K31">IF(AND(D2="M",E2=35),INT(927/H2*1000),0)</f>
        <v>0</v>
      </c>
      <c r="L2">
        <f aca="true" t="shared" si="5" ref="L2:L31">IF(AND(D2="M",E2=40),INT(930/H2*1000),0)</f>
        <v>0</v>
      </c>
      <c r="M2">
        <f aca="true" t="shared" si="6" ref="M2:M31">IF(AND(D2="M",E2=45),INT(958/H2*1000),0)</f>
        <v>0</v>
      </c>
      <c r="N2">
        <f aca="true" t="shared" si="7" ref="N2:N31">IF(AND(D2="M",E2=50),INT(989/H2*1000),0)</f>
        <v>0</v>
      </c>
      <c r="O2">
        <f aca="true" t="shared" si="8" ref="O2:O31">IF(AND(D2="M",E2=55),INT(1036/H2*1000),0)</f>
        <v>0</v>
      </c>
      <c r="P2">
        <f aca="true" t="shared" si="9" ref="P2:P31">IF(AND(D2="M",E2=60),INT(1195/H2*1000),0)</f>
        <v>0</v>
      </c>
      <c r="Q2">
        <f aca="true" t="shared" si="10" ref="Q2:Q31">IF(AND(D2="M",E2=65),INT(1195/H2*1000),0)</f>
        <v>0</v>
      </c>
      <c r="R2">
        <f aca="true" t="shared" si="11" ref="R2:R31">IF(AND(D2="M",E2=70),INT(1195/H2*1000),0)</f>
        <v>0</v>
      </c>
      <c r="S2">
        <f aca="true" t="shared" si="12" ref="S2:S31">IF(AND(D2="M",E2=75),INT(1195/H2*1000),0)</f>
        <v>0</v>
      </c>
      <c r="T2">
        <f aca="true" t="shared" si="13" ref="T2:T31">IF(AND(D2="M",E2=80),INT(1195/H2*1000),0)</f>
        <v>0</v>
      </c>
      <c r="U2">
        <f aca="true" t="shared" si="14" ref="U2:U31">IF(AND(D2="F",E2=25),INT(1062/H2*1000),0)</f>
        <v>0</v>
      </c>
      <c r="V2">
        <f aca="true" t="shared" si="15" ref="V2:V31">IF(AND(D2="F",E2=30),INT(1062/H2*1000),0)</f>
        <v>763</v>
      </c>
      <c r="W2">
        <f aca="true" t="shared" si="16" ref="W2:W31">IF(AND(D2="F",E2=35),INT(1098/H2*1000),0)</f>
        <v>0</v>
      </c>
      <c r="X2">
        <f aca="true" t="shared" si="17" ref="X2:X31">IF(AND(D2="F",E2=40),INT(1107/H2*1000),0)</f>
        <v>0</v>
      </c>
      <c r="Y2">
        <f aca="true" t="shared" si="18" ref="Y2:Y31">IF(AND(D2="F",E2=45),INT(1172/H2*1000),0)</f>
        <v>0</v>
      </c>
      <c r="Z2">
        <f aca="true" t="shared" si="19" ref="Z2:Z31">IF(AND(D2="F",E2=50),INT(1202/H2*1000),0)</f>
        <v>0</v>
      </c>
      <c r="AA2">
        <f aca="true" t="shared" si="20" ref="AA2:AA31">IF(AND(D2="F",E2=55),INT(1292/H2*1000),0)</f>
        <v>0</v>
      </c>
      <c r="AB2">
        <f aca="true" t="shared" si="21" ref="AB2:AB31">IF(AND(D2="F",E2=60),INT(1386/H2*1000),0)</f>
        <v>0</v>
      </c>
      <c r="AC2">
        <f aca="true" t="shared" si="22" ref="AC2:AC31">IF(AND(D2="F",E2=65),INT(1386/H2*1000),0)</f>
        <v>0</v>
      </c>
      <c r="AD2">
        <f aca="true" t="shared" si="23" ref="AD2:AD31">IF(AND(D2="F",E2=70),INT(1386/H2*1000),0)</f>
        <v>0</v>
      </c>
      <c r="AE2">
        <f aca="true" t="shared" si="24" ref="AE2:AE31">IF(AND(D2="F",E2=75),INT(1386/H2*1000),0)</f>
        <v>0</v>
      </c>
      <c r="AF2">
        <f aca="true" t="shared" si="25" ref="AF2:AF31">IF(AND(D2="F",E2=80),INT(1386/H2*1000),0)</f>
        <v>0</v>
      </c>
    </row>
    <row r="3" spans="1:32" ht="12.75">
      <c r="A3" s="11" t="s">
        <v>84</v>
      </c>
      <c r="B3" s="11" t="s">
        <v>134</v>
      </c>
      <c r="C3" s="11" t="s">
        <v>129</v>
      </c>
      <c r="D3" s="11" t="s">
        <v>41</v>
      </c>
      <c r="E3" s="13">
        <v>30</v>
      </c>
      <c r="F3" s="12">
        <v>25021</v>
      </c>
      <c r="G3" s="14">
        <f t="shared" si="0"/>
        <v>707</v>
      </c>
      <c r="H3" s="2">
        <f t="shared" si="1"/>
        <v>1502.1</v>
      </c>
      <c r="I3">
        <f t="shared" si="2"/>
        <v>0</v>
      </c>
      <c r="J3">
        <f t="shared" si="3"/>
        <v>0</v>
      </c>
      <c r="K3">
        <f t="shared" si="4"/>
        <v>0</v>
      </c>
      <c r="L3">
        <f t="shared" si="5"/>
        <v>0</v>
      </c>
      <c r="M3">
        <f t="shared" si="6"/>
        <v>0</v>
      </c>
      <c r="N3">
        <f t="shared" si="7"/>
        <v>0</v>
      </c>
      <c r="O3">
        <f t="shared" si="8"/>
        <v>0</v>
      </c>
      <c r="P3">
        <f t="shared" si="9"/>
        <v>0</v>
      </c>
      <c r="Q3">
        <f t="shared" si="10"/>
        <v>0</v>
      </c>
      <c r="R3">
        <f t="shared" si="11"/>
        <v>0</v>
      </c>
      <c r="S3">
        <f t="shared" si="12"/>
        <v>0</v>
      </c>
      <c r="T3">
        <f t="shared" si="13"/>
        <v>0</v>
      </c>
      <c r="U3">
        <f t="shared" si="14"/>
        <v>0</v>
      </c>
      <c r="V3">
        <f t="shared" si="15"/>
        <v>707</v>
      </c>
      <c r="W3">
        <f t="shared" si="16"/>
        <v>0</v>
      </c>
      <c r="X3">
        <f t="shared" si="17"/>
        <v>0</v>
      </c>
      <c r="Y3">
        <f t="shared" si="18"/>
        <v>0</v>
      </c>
      <c r="Z3">
        <f t="shared" si="19"/>
        <v>0</v>
      </c>
      <c r="AA3">
        <f t="shared" si="20"/>
        <v>0</v>
      </c>
      <c r="AB3">
        <f t="shared" si="21"/>
        <v>0</v>
      </c>
      <c r="AC3">
        <f t="shared" si="22"/>
        <v>0</v>
      </c>
      <c r="AD3">
        <f t="shared" si="23"/>
        <v>0</v>
      </c>
      <c r="AE3">
        <f t="shared" si="24"/>
        <v>0</v>
      </c>
      <c r="AF3">
        <f t="shared" si="25"/>
        <v>0</v>
      </c>
    </row>
    <row r="4" spans="1:33" ht="12.75">
      <c r="A4" s="11" t="s">
        <v>48</v>
      </c>
      <c r="B4" s="11" t="s">
        <v>133</v>
      </c>
      <c r="C4" s="11" t="s">
        <v>129</v>
      </c>
      <c r="D4" s="11" t="s">
        <v>41</v>
      </c>
      <c r="E4" s="13">
        <v>35</v>
      </c>
      <c r="F4" s="12">
        <v>27152</v>
      </c>
      <c r="G4" s="14">
        <f t="shared" si="0"/>
        <v>671</v>
      </c>
      <c r="H4" s="2">
        <f t="shared" si="1"/>
        <v>1635.2</v>
      </c>
      <c r="I4">
        <f t="shared" si="2"/>
        <v>0</v>
      </c>
      <c r="J4">
        <f t="shared" si="3"/>
        <v>0</v>
      </c>
      <c r="K4">
        <f t="shared" si="4"/>
        <v>0</v>
      </c>
      <c r="L4">
        <f t="shared" si="5"/>
        <v>0</v>
      </c>
      <c r="M4">
        <f t="shared" si="6"/>
        <v>0</v>
      </c>
      <c r="N4">
        <f t="shared" si="7"/>
        <v>0</v>
      </c>
      <c r="O4">
        <f t="shared" si="8"/>
        <v>0</v>
      </c>
      <c r="P4">
        <f t="shared" si="9"/>
        <v>0</v>
      </c>
      <c r="Q4">
        <f t="shared" si="10"/>
        <v>0</v>
      </c>
      <c r="R4">
        <f t="shared" si="11"/>
        <v>0</v>
      </c>
      <c r="S4">
        <f t="shared" si="12"/>
        <v>0</v>
      </c>
      <c r="T4">
        <f t="shared" si="13"/>
        <v>0</v>
      </c>
      <c r="U4">
        <f t="shared" si="14"/>
        <v>0</v>
      </c>
      <c r="V4">
        <f t="shared" si="15"/>
        <v>0</v>
      </c>
      <c r="W4">
        <f t="shared" si="16"/>
        <v>671</v>
      </c>
      <c r="X4">
        <f t="shared" si="17"/>
        <v>0</v>
      </c>
      <c r="Y4">
        <f t="shared" si="18"/>
        <v>0</v>
      </c>
      <c r="Z4">
        <f t="shared" si="19"/>
        <v>0</v>
      </c>
      <c r="AA4">
        <f t="shared" si="20"/>
        <v>0</v>
      </c>
      <c r="AB4">
        <f t="shared" si="21"/>
        <v>0</v>
      </c>
      <c r="AC4">
        <f t="shared" si="22"/>
        <v>0</v>
      </c>
      <c r="AD4">
        <f t="shared" si="23"/>
        <v>0</v>
      </c>
      <c r="AE4">
        <f t="shared" si="24"/>
        <v>0</v>
      </c>
      <c r="AF4">
        <f t="shared" si="25"/>
        <v>0</v>
      </c>
      <c r="AG4" s="21">
        <f>SUM(G2:G4)</f>
        <v>2141</v>
      </c>
    </row>
    <row r="5" spans="1:32" ht="12.75">
      <c r="A5" s="11" t="s">
        <v>50</v>
      </c>
      <c r="B5" s="11" t="s">
        <v>132</v>
      </c>
      <c r="C5" s="11" t="s">
        <v>129</v>
      </c>
      <c r="D5" s="11" t="s">
        <v>41</v>
      </c>
      <c r="E5" s="13">
        <v>35</v>
      </c>
      <c r="F5" s="12">
        <v>29447</v>
      </c>
      <c r="G5" s="14">
        <f t="shared" si="0"/>
        <v>615</v>
      </c>
      <c r="H5" s="2">
        <f t="shared" si="1"/>
        <v>1784.7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M5">
        <f t="shared" si="6"/>
        <v>0</v>
      </c>
      <c r="N5">
        <f t="shared" si="7"/>
        <v>0</v>
      </c>
      <c r="O5">
        <f t="shared" si="8"/>
        <v>0</v>
      </c>
      <c r="P5">
        <f t="shared" si="9"/>
        <v>0</v>
      </c>
      <c r="Q5">
        <f t="shared" si="10"/>
        <v>0</v>
      </c>
      <c r="R5">
        <f t="shared" si="11"/>
        <v>0</v>
      </c>
      <c r="S5">
        <f t="shared" si="12"/>
        <v>0</v>
      </c>
      <c r="T5">
        <f t="shared" si="13"/>
        <v>0</v>
      </c>
      <c r="U5">
        <f t="shared" si="14"/>
        <v>0</v>
      </c>
      <c r="V5">
        <f t="shared" si="15"/>
        <v>0</v>
      </c>
      <c r="W5">
        <f t="shared" si="16"/>
        <v>615</v>
      </c>
      <c r="X5">
        <f t="shared" si="17"/>
        <v>0</v>
      </c>
      <c r="Y5">
        <f t="shared" si="18"/>
        <v>0</v>
      </c>
      <c r="Z5">
        <f t="shared" si="19"/>
        <v>0</v>
      </c>
      <c r="AA5">
        <f t="shared" si="20"/>
        <v>0</v>
      </c>
      <c r="AB5">
        <f t="shared" si="21"/>
        <v>0</v>
      </c>
      <c r="AC5">
        <f t="shared" si="22"/>
        <v>0</v>
      </c>
      <c r="AD5">
        <f t="shared" si="23"/>
        <v>0</v>
      </c>
      <c r="AE5">
        <f t="shared" si="24"/>
        <v>0</v>
      </c>
      <c r="AF5">
        <f t="shared" si="25"/>
        <v>0</v>
      </c>
    </row>
    <row r="6" spans="1:32" ht="12.75">
      <c r="A6" s="11" t="s">
        <v>82</v>
      </c>
      <c r="B6" s="11" t="s">
        <v>124</v>
      </c>
      <c r="C6" s="11" t="s">
        <v>93</v>
      </c>
      <c r="D6" s="11" t="s">
        <v>41</v>
      </c>
      <c r="E6" s="13">
        <v>35</v>
      </c>
      <c r="F6" s="12">
        <v>23555</v>
      </c>
      <c r="G6" s="14">
        <f t="shared" si="0"/>
        <v>764</v>
      </c>
      <c r="H6" s="2">
        <f t="shared" si="1"/>
        <v>1435.5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M6">
        <f t="shared" si="6"/>
        <v>0</v>
      </c>
      <c r="N6">
        <f t="shared" si="7"/>
        <v>0</v>
      </c>
      <c r="O6">
        <f t="shared" si="8"/>
        <v>0</v>
      </c>
      <c r="P6">
        <f t="shared" si="9"/>
        <v>0</v>
      </c>
      <c r="Q6">
        <f t="shared" si="10"/>
        <v>0</v>
      </c>
      <c r="R6">
        <f t="shared" si="11"/>
        <v>0</v>
      </c>
      <c r="S6">
        <f t="shared" si="12"/>
        <v>0</v>
      </c>
      <c r="T6">
        <f t="shared" si="13"/>
        <v>0</v>
      </c>
      <c r="U6">
        <f t="shared" si="14"/>
        <v>0</v>
      </c>
      <c r="V6">
        <f t="shared" si="15"/>
        <v>0</v>
      </c>
      <c r="W6">
        <f t="shared" si="16"/>
        <v>764</v>
      </c>
      <c r="X6">
        <f t="shared" si="17"/>
        <v>0</v>
      </c>
      <c r="Y6">
        <f t="shared" si="18"/>
        <v>0</v>
      </c>
      <c r="Z6">
        <f t="shared" si="19"/>
        <v>0</v>
      </c>
      <c r="AA6">
        <f t="shared" si="20"/>
        <v>0</v>
      </c>
      <c r="AB6">
        <f t="shared" si="21"/>
        <v>0</v>
      </c>
      <c r="AC6">
        <f t="shared" si="22"/>
        <v>0</v>
      </c>
      <c r="AD6">
        <f t="shared" si="23"/>
        <v>0</v>
      </c>
      <c r="AE6">
        <f t="shared" si="24"/>
        <v>0</v>
      </c>
      <c r="AF6">
        <f t="shared" si="25"/>
        <v>0</v>
      </c>
    </row>
    <row r="7" spans="1:32" ht="12.75">
      <c r="A7" s="11" t="s">
        <v>88</v>
      </c>
      <c r="B7" s="11" t="s">
        <v>122</v>
      </c>
      <c r="C7" s="11" t="s">
        <v>93</v>
      </c>
      <c r="D7" s="11" t="s">
        <v>41</v>
      </c>
      <c r="E7" s="13">
        <v>30</v>
      </c>
      <c r="F7" s="12">
        <v>28174</v>
      </c>
      <c r="G7" s="14">
        <f t="shared" si="0"/>
        <v>625</v>
      </c>
      <c r="H7" s="2">
        <f t="shared" si="1"/>
        <v>1697.4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M7">
        <f t="shared" si="6"/>
        <v>0</v>
      </c>
      <c r="N7">
        <f t="shared" si="7"/>
        <v>0</v>
      </c>
      <c r="O7">
        <f t="shared" si="8"/>
        <v>0</v>
      </c>
      <c r="P7">
        <f t="shared" si="9"/>
        <v>0</v>
      </c>
      <c r="Q7">
        <f t="shared" si="10"/>
        <v>0</v>
      </c>
      <c r="R7">
        <f t="shared" si="11"/>
        <v>0</v>
      </c>
      <c r="S7">
        <f t="shared" si="12"/>
        <v>0</v>
      </c>
      <c r="T7">
        <f t="shared" si="13"/>
        <v>0</v>
      </c>
      <c r="U7">
        <f t="shared" si="14"/>
        <v>0</v>
      </c>
      <c r="V7">
        <f t="shared" si="15"/>
        <v>625</v>
      </c>
      <c r="W7">
        <f t="shared" si="16"/>
        <v>0</v>
      </c>
      <c r="X7">
        <f t="shared" si="17"/>
        <v>0</v>
      </c>
      <c r="Y7">
        <f t="shared" si="18"/>
        <v>0</v>
      </c>
      <c r="Z7">
        <f t="shared" si="19"/>
        <v>0</v>
      </c>
      <c r="AA7">
        <f t="shared" si="20"/>
        <v>0</v>
      </c>
      <c r="AB7">
        <f t="shared" si="21"/>
        <v>0</v>
      </c>
      <c r="AC7">
        <f t="shared" si="22"/>
        <v>0</v>
      </c>
      <c r="AD7">
        <f t="shared" si="23"/>
        <v>0</v>
      </c>
      <c r="AE7">
        <f t="shared" si="24"/>
        <v>0</v>
      </c>
      <c r="AF7">
        <f t="shared" si="25"/>
        <v>0</v>
      </c>
    </row>
    <row r="8" spans="1:33" ht="12.75">
      <c r="A8" s="11" t="s">
        <v>91</v>
      </c>
      <c r="B8" s="11" t="s">
        <v>123</v>
      </c>
      <c r="C8" s="11" t="s">
        <v>93</v>
      </c>
      <c r="D8" s="11" t="s">
        <v>41</v>
      </c>
      <c r="E8" s="13">
        <v>50</v>
      </c>
      <c r="F8" s="12">
        <v>34475</v>
      </c>
      <c r="G8" s="14">
        <f t="shared" si="0"/>
        <v>575</v>
      </c>
      <c r="H8" s="2">
        <f t="shared" si="1"/>
        <v>2087.5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M8">
        <f t="shared" si="6"/>
        <v>0</v>
      </c>
      <c r="N8">
        <f t="shared" si="7"/>
        <v>0</v>
      </c>
      <c r="O8">
        <f t="shared" si="8"/>
        <v>0</v>
      </c>
      <c r="P8">
        <f t="shared" si="9"/>
        <v>0</v>
      </c>
      <c r="Q8">
        <f t="shared" si="10"/>
        <v>0</v>
      </c>
      <c r="R8">
        <f t="shared" si="11"/>
        <v>0</v>
      </c>
      <c r="S8">
        <f t="shared" si="12"/>
        <v>0</v>
      </c>
      <c r="T8">
        <f t="shared" si="13"/>
        <v>0</v>
      </c>
      <c r="U8">
        <f t="shared" si="14"/>
        <v>0</v>
      </c>
      <c r="V8">
        <f t="shared" si="15"/>
        <v>0</v>
      </c>
      <c r="W8">
        <f t="shared" si="16"/>
        <v>0</v>
      </c>
      <c r="X8">
        <f t="shared" si="17"/>
        <v>0</v>
      </c>
      <c r="Y8">
        <f t="shared" si="18"/>
        <v>0</v>
      </c>
      <c r="Z8">
        <f t="shared" si="19"/>
        <v>575</v>
      </c>
      <c r="AA8">
        <f t="shared" si="20"/>
        <v>0</v>
      </c>
      <c r="AB8">
        <f t="shared" si="21"/>
        <v>0</v>
      </c>
      <c r="AC8">
        <f t="shared" si="22"/>
        <v>0</v>
      </c>
      <c r="AD8">
        <f t="shared" si="23"/>
        <v>0</v>
      </c>
      <c r="AE8">
        <f t="shared" si="24"/>
        <v>0</v>
      </c>
      <c r="AF8">
        <f t="shared" si="25"/>
        <v>0</v>
      </c>
      <c r="AG8" s="21">
        <f>SUM(G6:G8)</f>
        <v>1964</v>
      </c>
    </row>
    <row r="9" spans="1:32" ht="12.75">
      <c r="A9" s="11" t="s">
        <v>70</v>
      </c>
      <c r="B9" s="11" t="s">
        <v>99</v>
      </c>
      <c r="C9" s="11" t="s">
        <v>51</v>
      </c>
      <c r="D9" s="11" t="s">
        <v>41</v>
      </c>
      <c r="E9" s="13">
        <v>40</v>
      </c>
      <c r="F9" s="12">
        <v>20500</v>
      </c>
      <c r="G9" s="14">
        <f t="shared" si="0"/>
        <v>885</v>
      </c>
      <c r="H9" s="2">
        <f t="shared" si="1"/>
        <v>1250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M9">
        <f t="shared" si="6"/>
        <v>0</v>
      </c>
      <c r="N9">
        <f t="shared" si="7"/>
        <v>0</v>
      </c>
      <c r="O9">
        <f t="shared" si="8"/>
        <v>0</v>
      </c>
      <c r="P9">
        <f t="shared" si="9"/>
        <v>0</v>
      </c>
      <c r="Q9">
        <f t="shared" si="10"/>
        <v>0</v>
      </c>
      <c r="R9">
        <f t="shared" si="11"/>
        <v>0</v>
      </c>
      <c r="S9">
        <f t="shared" si="12"/>
        <v>0</v>
      </c>
      <c r="T9">
        <f t="shared" si="13"/>
        <v>0</v>
      </c>
      <c r="U9">
        <f t="shared" si="14"/>
        <v>0</v>
      </c>
      <c r="V9">
        <f t="shared" si="15"/>
        <v>0</v>
      </c>
      <c r="W9">
        <f t="shared" si="16"/>
        <v>0</v>
      </c>
      <c r="X9">
        <f t="shared" si="17"/>
        <v>885</v>
      </c>
      <c r="Y9">
        <f t="shared" si="18"/>
        <v>0</v>
      </c>
      <c r="Z9">
        <f t="shared" si="19"/>
        <v>0</v>
      </c>
      <c r="AA9">
        <f t="shared" si="20"/>
        <v>0</v>
      </c>
      <c r="AB9">
        <f t="shared" si="21"/>
        <v>0</v>
      </c>
      <c r="AC9">
        <f t="shared" si="22"/>
        <v>0</v>
      </c>
      <c r="AD9">
        <f t="shared" si="23"/>
        <v>0</v>
      </c>
      <c r="AE9">
        <f t="shared" si="24"/>
        <v>0</v>
      </c>
      <c r="AF9">
        <f t="shared" si="25"/>
        <v>0</v>
      </c>
    </row>
    <row r="10" spans="1:32" ht="12.75">
      <c r="A10" s="11" t="s">
        <v>72</v>
      </c>
      <c r="B10" s="11" t="s">
        <v>98</v>
      </c>
      <c r="C10" s="11" t="s">
        <v>51</v>
      </c>
      <c r="D10" s="11" t="s">
        <v>41</v>
      </c>
      <c r="E10" s="13">
        <v>35</v>
      </c>
      <c r="F10" s="12">
        <v>21242</v>
      </c>
      <c r="G10" s="14">
        <f t="shared" si="0"/>
        <v>855</v>
      </c>
      <c r="H10" s="2">
        <f t="shared" si="1"/>
        <v>1284.2</v>
      </c>
      <c r="I10">
        <f t="shared" si="2"/>
        <v>0</v>
      </c>
      <c r="J10">
        <f t="shared" si="3"/>
        <v>0</v>
      </c>
      <c r="K10">
        <f t="shared" si="4"/>
        <v>0</v>
      </c>
      <c r="L10">
        <f t="shared" si="5"/>
        <v>0</v>
      </c>
      <c r="M10">
        <f t="shared" si="6"/>
        <v>0</v>
      </c>
      <c r="N10">
        <f t="shared" si="7"/>
        <v>0</v>
      </c>
      <c r="O10">
        <f t="shared" si="8"/>
        <v>0</v>
      </c>
      <c r="P10">
        <f t="shared" si="9"/>
        <v>0</v>
      </c>
      <c r="Q10">
        <f t="shared" si="10"/>
        <v>0</v>
      </c>
      <c r="R10">
        <f t="shared" si="11"/>
        <v>0</v>
      </c>
      <c r="S10">
        <f t="shared" si="12"/>
        <v>0</v>
      </c>
      <c r="T10">
        <f t="shared" si="13"/>
        <v>0</v>
      </c>
      <c r="U10">
        <f t="shared" si="14"/>
        <v>0</v>
      </c>
      <c r="V10">
        <f t="shared" si="15"/>
        <v>0</v>
      </c>
      <c r="W10">
        <f t="shared" si="16"/>
        <v>855</v>
      </c>
      <c r="X10">
        <f t="shared" si="17"/>
        <v>0</v>
      </c>
      <c r="Y10">
        <f t="shared" si="18"/>
        <v>0</v>
      </c>
      <c r="Z10">
        <f t="shared" si="19"/>
        <v>0</v>
      </c>
      <c r="AA10">
        <f t="shared" si="20"/>
        <v>0</v>
      </c>
      <c r="AB10">
        <f t="shared" si="21"/>
        <v>0</v>
      </c>
      <c r="AC10">
        <f t="shared" si="22"/>
        <v>0</v>
      </c>
      <c r="AD10">
        <f t="shared" si="23"/>
        <v>0</v>
      </c>
      <c r="AE10">
        <f t="shared" si="24"/>
        <v>0</v>
      </c>
      <c r="AF10">
        <f t="shared" si="25"/>
        <v>0</v>
      </c>
    </row>
    <row r="11" spans="1:33" ht="12.75">
      <c r="A11" s="11" t="s">
        <v>46</v>
      </c>
      <c r="B11" s="11" t="s">
        <v>100</v>
      </c>
      <c r="C11" s="11" t="s">
        <v>51</v>
      </c>
      <c r="D11" s="11" t="s">
        <v>41</v>
      </c>
      <c r="E11" s="13">
        <v>40</v>
      </c>
      <c r="F11" s="12">
        <v>23492</v>
      </c>
      <c r="G11" s="14">
        <f t="shared" si="0"/>
        <v>774</v>
      </c>
      <c r="H11" s="2">
        <f t="shared" si="1"/>
        <v>1429.2</v>
      </c>
      <c r="I11">
        <f t="shared" si="2"/>
        <v>0</v>
      </c>
      <c r="J11">
        <f t="shared" si="3"/>
        <v>0</v>
      </c>
      <c r="K11">
        <f t="shared" si="4"/>
        <v>0</v>
      </c>
      <c r="L11">
        <f t="shared" si="5"/>
        <v>0</v>
      </c>
      <c r="M11">
        <f t="shared" si="6"/>
        <v>0</v>
      </c>
      <c r="N11">
        <f t="shared" si="7"/>
        <v>0</v>
      </c>
      <c r="O11">
        <f t="shared" si="8"/>
        <v>0</v>
      </c>
      <c r="P11">
        <f t="shared" si="9"/>
        <v>0</v>
      </c>
      <c r="Q11">
        <f t="shared" si="10"/>
        <v>0</v>
      </c>
      <c r="R11">
        <f t="shared" si="11"/>
        <v>0</v>
      </c>
      <c r="S11">
        <f t="shared" si="12"/>
        <v>0</v>
      </c>
      <c r="T11">
        <f t="shared" si="13"/>
        <v>0</v>
      </c>
      <c r="U11">
        <f t="shared" si="14"/>
        <v>0</v>
      </c>
      <c r="V11">
        <f t="shared" si="15"/>
        <v>0</v>
      </c>
      <c r="W11">
        <f t="shared" si="16"/>
        <v>0</v>
      </c>
      <c r="X11">
        <f t="shared" si="17"/>
        <v>774</v>
      </c>
      <c r="Y11">
        <f t="shared" si="18"/>
        <v>0</v>
      </c>
      <c r="Z11">
        <f t="shared" si="19"/>
        <v>0</v>
      </c>
      <c r="AA11">
        <f t="shared" si="20"/>
        <v>0</v>
      </c>
      <c r="AB11">
        <f t="shared" si="21"/>
        <v>0</v>
      </c>
      <c r="AC11">
        <f t="shared" si="22"/>
        <v>0</v>
      </c>
      <c r="AD11">
        <f t="shared" si="23"/>
        <v>0</v>
      </c>
      <c r="AE11">
        <f t="shared" si="24"/>
        <v>0</v>
      </c>
      <c r="AF11">
        <f t="shared" si="25"/>
        <v>0</v>
      </c>
      <c r="AG11" s="21">
        <f>SUM(G9:G11)</f>
        <v>2514</v>
      </c>
    </row>
    <row r="12" spans="1:32" ht="12.75">
      <c r="A12" s="11" t="s">
        <v>90</v>
      </c>
      <c r="B12" s="11" t="s">
        <v>148</v>
      </c>
      <c r="C12" s="11" t="s">
        <v>51</v>
      </c>
      <c r="D12" s="11" t="s">
        <v>41</v>
      </c>
      <c r="E12" s="13">
        <v>55</v>
      </c>
      <c r="F12" s="12">
        <v>29538</v>
      </c>
      <c r="G12" s="14">
        <f t="shared" si="0"/>
        <v>720</v>
      </c>
      <c r="H12" s="2">
        <f t="shared" si="1"/>
        <v>1793.8</v>
      </c>
      <c r="I12">
        <f t="shared" si="2"/>
        <v>0</v>
      </c>
      <c r="J12">
        <f t="shared" si="3"/>
        <v>0</v>
      </c>
      <c r="K12">
        <f t="shared" si="4"/>
        <v>0</v>
      </c>
      <c r="L12">
        <f t="shared" si="5"/>
        <v>0</v>
      </c>
      <c r="M12">
        <f t="shared" si="6"/>
        <v>0</v>
      </c>
      <c r="N12">
        <f t="shared" si="7"/>
        <v>0</v>
      </c>
      <c r="O12">
        <f t="shared" si="8"/>
        <v>0</v>
      </c>
      <c r="P12">
        <f t="shared" si="9"/>
        <v>0</v>
      </c>
      <c r="Q12">
        <f t="shared" si="10"/>
        <v>0</v>
      </c>
      <c r="R12">
        <f t="shared" si="11"/>
        <v>0</v>
      </c>
      <c r="S12">
        <f t="shared" si="12"/>
        <v>0</v>
      </c>
      <c r="T12">
        <f t="shared" si="13"/>
        <v>0</v>
      </c>
      <c r="U12">
        <f t="shared" si="14"/>
        <v>0</v>
      </c>
      <c r="V12">
        <f t="shared" si="15"/>
        <v>0</v>
      </c>
      <c r="W12">
        <f t="shared" si="16"/>
        <v>0</v>
      </c>
      <c r="X12">
        <f t="shared" si="17"/>
        <v>0</v>
      </c>
      <c r="Y12">
        <f t="shared" si="18"/>
        <v>0</v>
      </c>
      <c r="Z12">
        <f t="shared" si="19"/>
        <v>0</v>
      </c>
      <c r="AA12">
        <f t="shared" si="20"/>
        <v>720</v>
      </c>
      <c r="AB12">
        <f t="shared" si="21"/>
        <v>0</v>
      </c>
      <c r="AC12">
        <f t="shared" si="22"/>
        <v>0</v>
      </c>
      <c r="AD12">
        <f t="shared" si="23"/>
        <v>0</v>
      </c>
      <c r="AE12">
        <f t="shared" si="24"/>
        <v>0</v>
      </c>
      <c r="AF12">
        <f t="shared" si="25"/>
        <v>0</v>
      </c>
    </row>
    <row r="13" spans="1:32" ht="12.75">
      <c r="A13" s="11" t="s">
        <v>62</v>
      </c>
      <c r="B13" s="11" t="s">
        <v>49</v>
      </c>
      <c r="C13" s="11" t="s">
        <v>33</v>
      </c>
      <c r="D13" s="11" t="s">
        <v>41</v>
      </c>
      <c r="E13" s="13">
        <v>35</v>
      </c>
      <c r="F13" s="12">
        <v>19426</v>
      </c>
      <c r="G13" s="14">
        <f t="shared" si="0"/>
        <v>928</v>
      </c>
      <c r="H13" s="2">
        <f t="shared" si="1"/>
        <v>1182.6</v>
      </c>
      <c r="I13">
        <f t="shared" si="2"/>
        <v>0</v>
      </c>
      <c r="J13">
        <f t="shared" si="3"/>
        <v>0</v>
      </c>
      <c r="K13">
        <f t="shared" si="4"/>
        <v>0</v>
      </c>
      <c r="L13">
        <f t="shared" si="5"/>
        <v>0</v>
      </c>
      <c r="M13">
        <f t="shared" si="6"/>
        <v>0</v>
      </c>
      <c r="N13">
        <f t="shared" si="7"/>
        <v>0</v>
      </c>
      <c r="O13">
        <f t="shared" si="8"/>
        <v>0</v>
      </c>
      <c r="P13">
        <f t="shared" si="9"/>
        <v>0</v>
      </c>
      <c r="Q13">
        <f t="shared" si="10"/>
        <v>0</v>
      </c>
      <c r="R13">
        <f t="shared" si="11"/>
        <v>0</v>
      </c>
      <c r="S13">
        <f t="shared" si="12"/>
        <v>0</v>
      </c>
      <c r="T13">
        <f t="shared" si="13"/>
        <v>0</v>
      </c>
      <c r="U13">
        <f t="shared" si="14"/>
        <v>0</v>
      </c>
      <c r="V13">
        <f t="shared" si="15"/>
        <v>0</v>
      </c>
      <c r="W13">
        <f t="shared" si="16"/>
        <v>928</v>
      </c>
      <c r="X13">
        <f t="shared" si="17"/>
        <v>0</v>
      </c>
      <c r="Y13">
        <f t="shared" si="18"/>
        <v>0</v>
      </c>
      <c r="Z13">
        <f t="shared" si="19"/>
        <v>0</v>
      </c>
      <c r="AA13">
        <f t="shared" si="20"/>
        <v>0</v>
      </c>
      <c r="AB13">
        <f t="shared" si="21"/>
        <v>0</v>
      </c>
      <c r="AC13">
        <f t="shared" si="22"/>
        <v>0</v>
      </c>
      <c r="AD13">
        <f t="shared" si="23"/>
        <v>0</v>
      </c>
      <c r="AE13">
        <f t="shared" si="24"/>
        <v>0</v>
      </c>
      <c r="AF13">
        <f t="shared" si="25"/>
        <v>0</v>
      </c>
    </row>
    <row r="14" spans="1:32" ht="12.75">
      <c r="A14" s="11" t="s">
        <v>63</v>
      </c>
      <c r="B14" s="11" t="s">
        <v>95</v>
      </c>
      <c r="C14" s="11" t="s">
        <v>33</v>
      </c>
      <c r="D14" s="11" t="s">
        <v>41</v>
      </c>
      <c r="E14" s="13">
        <v>30</v>
      </c>
      <c r="F14" s="12">
        <v>19431</v>
      </c>
      <c r="G14" s="14">
        <f t="shared" si="0"/>
        <v>897</v>
      </c>
      <c r="H14" s="2">
        <f t="shared" si="1"/>
        <v>1183.1</v>
      </c>
      <c r="I14">
        <f t="shared" si="2"/>
        <v>0</v>
      </c>
      <c r="J14">
        <f t="shared" si="3"/>
        <v>0</v>
      </c>
      <c r="K14">
        <f t="shared" si="4"/>
        <v>0</v>
      </c>
      <c r="L14">
        <f t="shared" si="5"/>
        <v>0</v>
      </c>
      <c r="M14">
        <f t="shared" si="6"/>
        <v>0</v>
      </c>
      <c r="N14">
        <f t="shared" si="7"/>
        <v>0</v>
      </c>
      <c r="O14">
        <f t="shared" si="8"/>
        <v>0</v>
      </c>
      <c r="P14">
        <f t="shared" si="9"/>
        <v>0</v>
      </c>
      <c r="Q14">
        <f t="shared" si="10"/>
        <v>0</v>
      </c>
      <c r="R14">
        <f t="shared" si="11"/>
        <v>0</v>
      </c>
      <c r="S14">
        <f t="shared" si="12"/>
        <v>0</v>
      </c>
      <c r="T14">
        <f t="shared" si="13"/>
        <v>0</v>
      </c>
      <c r="U14">
        <f t="shared" si="14"/>
        <v>0</v>
      </c>
      <c r="V14">
        <f t="shared" si="15"/>
        <v>897</v>
      </c>
      <c r="W14">
        <f t="shared" si="16"/>
        <v>0</v>
      </c>
      <c r="X14">
        <f t="shared" si="17"/>
        <v>0</v>
      </c>
      <c r="Y14">
        <f t="shared" si="18"/>
        <v>0</v>
      </c>
      <c r="Z14">
        <f t="shared" si="19"/>
        <v>0</v>
      </c>
      <c r="AA14">
        <f t="shared" si="20"/>
        <v>0</v>
      </c>
      <c r="AB14">
        <f t="shared" si="21"/>
        <v>0</v>
      </c>
      <c r="AC14">
        <f t="shared" si="22"/>
        <v>0</v>
      </c>
      <c r="AD14">
        <f t="shared" si="23"/>
        <v>0</v>
      </c>
      <c r="AE14">
        <f t="shared" si="24"/>
        <v>0</v>
      </c>
      <c r="AF14">
        <f t="shared" si="25"/>
        <v>0</v>
      </c>
    </row>
    <row r="15" spans="1:33" ht="12.75">
      <c r="A15" s="11" t="s">
        <v>65</v>
      </c>
      <c r="B15" s="11" t="s">
        <v>45</v>
      </c>
      <c r="C15" s="11" t="s">
        <v>33</v>
      </c>
      <c r="D15" s="11" t="s">
        <v>41</v>
      </c>
      <c r="E15" s="13">
        <v>25</v>
      </c>
      <c r="F15" s="12">
        <v>20129</v>
      </c>
      <c r="G15" s="14">
        <f t="shared" si="0"/>
        <v>875</v>
      </c>
      <c r="H15" s="2">
        <f t="shared" si="1"/>
        <v>1212.9</v>
      </c>
      <c r="I15">
        <f t="shared" si="2"/>
        <v>0</v>
      </c>
      <c r="J15">
        <f t="shared" si="3"/>
        <v>0</v>
      </c>
      <c r="K15">
        <f t="shared" si="4"/>
        <v>0</v>
      </c>
      <c r="L15">
        <f t="shared" si="5"/>
        <v>0</v>
      </c>
      <c r="M15">
        <f t="shared" si="6"/>
        <v>0</v>
      </c>
      <c r="N15">
        <f t="shared" si="7"/>
        <v>0</v>
      </c>
      <c r="O15">
        <f t="shared" si="8"/>
        <v>0</v>
      </c>
      <c r="P15">
        <f t="shared" si="9"/>
        <v>0</v>
      </c>
      <c r="Q15">
        <f t="shared" si="10"/>
        <v>0</v>
      </c>
      <c r="R15">
        <f t="shared" si="11"/>
        <v>0</v>
      </c>
      <c r="S15">
        <f t="shared" si="12"/>
        <v>0</v>
      </c>
      <c r="T15">
        <f t="shared" si="13"/>
        <v>0</v>
      </c>
      <c r="U15">
        <f t="shared" si="14"/>
        <v>875</v>
      </c>
      <c r="V15">
        <f t="shared" si="15"/>
        <v>0</v>
      </c>
      <c r="W15">
        <f t="shared" si="16"/>
        <v>0</v>
      </c>
      <c r="X15">
        <f t="shared" si="17"/>
        <v>0</v>
      </c>
      <c r="Y15">
        <f t="shared" si="18"/>
        <v>0</v>
      </c>
      <c r="Z15">
        <f t="shared" si="19"/>
        <v>0</v>
      </c>
      <c r="AA15">
        <f t="shared" si="20"/>
        <v>0</v>
      </c>
      <c r="AB15">
        <f t="shared" si="21"/>
        <v>0</v>
      </c>
      <c r="AC15">
        <f t="shared" si="22"/>
        <v>0</v>
      </c>
      <c r="AD15">
        <f t="shared" si="23"/>
        <v>0</v>
      </c>
      <c r="AE15">
        <f t="shared" si="24"/>
        <v>0</v>
      </c>
      <c r="AF15">
        <f t="shared" si="25"/>
        <v>0</v>
      </c>
      <c r="AG15" s="21">
        <f>SUM(G13:G15)</f>
        <v>2700</v>
      </c>
    </row>
    <row r="16" spans="1:32" ht="12.75">
      <c r="A16" s="11" t="s">
        <v>66</v>
      </c>
      <c r="B16" s="11" t="s">
        <v>47</v>
      </c>
      <c r="C16" s="11" t="s">
        <v>33</v>
      </c>
      <c r="D16" s="11" t="s">
        <v>41</v>
      </c>
      <c r="E16" s="13">
        <v>30</v>
      </c>
      <c r="F16" s="12">
        <v>20168</v>
      </c>
      <c r="G16" s="14">
        <f t="shared" si="0"/>
        <v>872</v>
      </c>
      <c r="H16" s="2">
        <f t="shared" si="1"/>
        <v>1216.8</v>
      </c>
      <c r="I16">
        <f t="shared" si="2"/>
        <v>0</v>
      </c>
      <c r="J16">
        <f t="shared" si="3"/>
        <v>0</v>
      </c>
      <c r="K16">
        <f t="shared" si="4"/>
        <v>0</v>
      </c>
      <c r="L16">
        <f t="shared" si="5"/>
        <v>0</v>
      </c>
      <c r="M16">
        <f t="shared" si="6"/>
        <v>0</v>
      </c>
      <c r="N16">
        <f t="shared" si="7"/>
        <v>0</v>
      </c>
      <c r="O16">
        <f t="shared" si="8"/>
        <v>0</v>
      </c>
      <c r="P16">
        <f t="shared" si="9"/>
        <v>0</v>
      </c>
      <c r="Q16">
        <f t="shared" si="10"/>
        <v>0</v>
      </c>
      <c r="R16">
        <f t="shared" si="11"/>
        <v>0</v>
      </c>
      <c r="S16">
        <f t="shared" si="12"/>
        <v>0</v>
      </c>
      <c r="T16">
        <f t="shared" si="13"/>
        <v>0</v>
      </c>
      <c r="U16">
        <f t="shared" si="14"/>
        <v>0</v>
      </c>
      <c r="V16">
        <f t="shared" si="15"/>
        <v>872</v>
      </c>
      <c r="W16">
        <f t="shared" si="16"/>
        <v>0</v>
      </c>
      <c r="X16">
        <f t="shared" si="17"/>
        <v>0</v>
      </c>
      <c r="Y16">
        <f t="shared" si="18"/>
        <v>0</v>
      </c>
      <c r="Z16">
        <f t="shared" si="19"/>
        <v>0</v>
      </c>
      <c r="AA16">
        <f t="shared" si="20"/>
        <v>0</v>
      </c>
      <c r="AB16">
        <f t="shared" si="21"/>
        <v>0</v>
      </c>
      <c r="AC16">
        <f t="shared" si="22"/>
        <v>0</v>
      </c>
      <c r="AD16">
        <f t="shared" si="23"/>
        <v>0</v>
      </c>
      <c r="AE16">
        <f t="shared" si="24"/>
        <v>0</v>
      </c>
      <c r="AF16">
        <f t="shared" si="25"/>
        <v>0</v>
      </c>
    </row>
    <row r="17" spans="1:32" ht="12.75">
      <c r="A17" s="11" t="s">
        <v>87</v>
      </c>
      <c r="B17" s="11" t="s">
        <v>96</v>
      </c>
      <c r="C17" s="11" t="s">
        <v>33</v>
      </c>
      <c r="D17" s="11" t="s">
        <v>41</v>
      </c>
      <c r="E17" s="13">
        <v>60</v>
      </c>
      <c r="F17" s="12">
        <v>27543</v>
      </c>
      <c r="G17" s="14">
        <f t="shared" si="0"/>
        <v>827</v>
      </c>
      <c r="H17" s="2">
        <f t="shared" si="1"/>
        <v>1674.3</v>
      </c>
      <c r="I17">
        <f t="shared" si="2"/>
        <v>0</v>
      </c>
      <c r="J17">
        <f t="shared" si="3"/>
        <v>0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7"/>
        <v>0</v>
      </c>
      <c r="O17">
        <f t="shared" si="8"/>
        <v>0</v>
      </c>
      <c r="P17">
        <f t="shared" si="9"/>
        <v>0</v>
      </c>
      <c r="Q17">
        <f t="shared" si="10"/>
        <v>0</v>
      </c>
      <c r="R17">
        <f t="shared" si="11"/>
        <v>0</v>
      </c>
      <c r="S17">
        <f t="shared" si="12"/>
        <v>0</v>
      </c>
      <c r="T17">
        <f t="shared" si="13"/>
        <v>0</v>
      </c>
      <c r="U17">
        <f t="shared" si="14"/>
        <v>0</v>
      </c>
      <c r="V17">
        <f t="shared" si="15"/>
        <v>0</v>
      </c>
      <c r="W17">
        <f t="shared" si="16"/>
        <v>0</v>
      </c>
      <c r="X17">
        <f t="shared" si="17"/>
        <v>0</v>
      </c>
      <c r="Y17">
        <f t="shared" si="18"/>
        <v>0</v>
      </c>
      <c r="Z17">
        <f t="shared" si="19"/>
        <v>0</v>
      </c>
      <c r="AA17">
        <f t="shared" si="20"/>
        <v>0</v>
      </c>
      <c r="AB17">
        <f t="shared" si="21"/>
        <v>827</v>
      </c>
      <c r="AC17">
        <f t="shared" si="22"/>
        <v>0</v>
      </c>
      <c r="AD17">
        <f t="shared" si="23"/>
        <v>0</v>
      </c>
      <c r="AE17">
        <f t="shared" si="24"/>
        <v>0</v>
      </c>
      <c r="AF17">
        <f t="shared" si="25"/>
        <v>0</v>
      </c>
    </row>
    <row r="18" spans="1:32" ht="12.75">
      <c r="A18" s="11" t="s">
        <v>68</v>
      </c>
      <c r="B18" s="11" t="s">
        <v>135</v>
      </c>
      <c r="C18" s="11" t="s">
        <v>129</v>
      </c>
      <c r="D18" s="11" t="s">
        <v>32</v>
      </c>
      <c r="E18" s="13">
        <v>35</v>
      </c>
      <c r="F18" s="12">
        <v>20197</v>
      </c>
      <c r="G18" s="14">
        <f t="shared" si="0"/>
        <v>760</v>
      </c>
      <c r="H18" s="2">
        <f t="shared" si="1"/>
        <v>1219.7</v>
      </c>
      <c r="I18">
        <f t="shared" si="2"/>
        <v>0</v>
      </c>
      <c r="J18">
        <f t="shared" si="3"/>
        <v>0</v>
      </c>
      <c r="K18">
        <f t="shared" si="4"/>
        <v>760</v>
      </c>
      <c r="L18">
        <f t="shared" si="5"/>
        <v>0</v>
      </c>
      <c r="M18">
        <f t="shared" si="6"/>
        <v>0</v>
      </c>
      <c r="N18">
        <f t="shared" si="7"/>
        <v>0</v>
      </c>
      <c r="O18">
        <f t="shared" si="8"/>
        <v>0</v>
      </c>
      <c r="P18">
        <f t="shared" si="9"/>
        <v>0</v>
      </c>
      <c r="Q18">
        <f t="shared" si="10"/>
        <v>0</v>
      </c>
      <c r="R18">
        <f t="shared" si="11"/>
        <v>0</v>
      </c>
      <c r="S18">
        <f t="shared" si="12"/>
        <v>0</v>
      </c>
      <c r="T18">
        <f t="shared" si="13"/>
        <v>0</v>
      </c>
      <c r="U18">
        <f t="shared" si="14"/>
        <v>0</v>
      </c>
      <c r="V18">
        <f t="shared" si="15"/>
        <v>0</v>
      </c>
      <c r="W18">
        <f t="shared" si="16"/>
        <v>0</v>
      </c>
      <c r="X18">
        <f t="shared" si="17"/>
        <v>0</v>
      </c>
      <c r="Y18">
        <f t="shared" si="18"/>
        <v>0</v>
      </c>
      <c r="Z18">
        <f t="shared" si="19"/>
        <v>0</v>
      </c>
      <c r="AA18">
        <f t="shared" si="20"/>
        <v>0</v>
      </c>
      <c r="AB18">
        <f t="shared" si="21"/>
        <v>0</v>
      </c>
      <c r="AC18">
        <f t="shared" si="22"/>
        <v>0</v>
      </c>
      <c r="AD18">
        <f t="shared" si="23"/>
        <v>0</v>
      </c>
      <c r="AE18">
        <f t="shared" si="24"/>
        <v>0</v>
      </c>
      <c r="AF18">
        <f t="shared" si="25"/>
        <v>0</v>
      </c>
    </row>
    <row r="19" spans="1:32" ht="12.75">
      <c r="A19" s="11" t="s">
        <v>73</v>
      </c>
      <c r="B19" s="11" t="s">
        <v>131</v>
      </c>
      <c r="C19" s="11" t="s">
        <v>129</v>
      </c>
      <c r="D19" s="11" t="s">
        <v>32</v>
      </c>
      <c r="E19" s="13">
        <v>40</v>
      </c>
      <c r="F19" s="12">
        <v>21397</v>
      </c>
      <c r="G19" s="14">
        <f t="shared" si="0"/>
        <v>715</v>
      </c>
      <c r="H19" s="2">
        <f t="shared" si="1"/>
        <v>1299.7</v>
      </c>
      <c r="I19">
        <f t="shared" si="2"/>
        <v>0</v>
      </c>
      <c r="J19">
        <f t="shared" si="3"/>
        <v>0</v>
      </c>
      <c r="K19">
        <f t="shared" si="4"/>
        <v>0</v>
      </c>
      <c r="L19">
        <f t="shared" si="5"/>
        <v>715</v>
      </c>
      <c r="M19">
        <f t="shared" si="6"/>
        <v>0</v>
      </c>
      <c r="N19">
        <f t="shared" si="7"/>
        <v>0</v>
      </c>
      <c r="O19">
        <f t="shared" si="8"/>
        <v>0</v>
      </c>
      <c r="P19">
        <f t="shared" si="9"/>
        <v>0</v>
      </c>
      <c r="Q19">
        <f t="shared" si="10"/>
        <v>0</v>
      </c>
      <c r="R19">
        <f t="shared" si="11"/>
        <v>0</v>
      </c>
      <c r="S19">
        <f t="shared" si="12"/>
        <v>0</v>
      </c>
      <c r="T19">
        <f t="shared" si="13"/>
        <v>0</v>
      </c>
      <c r="U19">
        <f t="shared" si="14"/>
        <v>0</v>
      </c>
      <c r="V19">
        <f t="shared" si="15"/>
        <v>0</v>
      </c>
      <c r="W19">
        <f t="shared" si="16"/>
        <v>0</v>
      </c>
      <c r="X19">
        <f t="shared" si="17"/>
        <v>0</v>
      </c>
      <c r="Y19">
        <f t="shared" si="18"/>
        <v>0</v>
      </c>
      <c r="Z19">
        <f t="shared" si="19"/>
        <v>0</v>
      </c>
      <c r="AA19">
        <f t="shared" si="20"/>
        <v>0</v>
      </c>
      <c r="AB19">
        <f t="shared" si="21"/>
        <v>0</v>
      </c>
      <c r="AC19">
        <f t="shared" si="22"/>
        <v>0</v>
      </c>
      <c r="AD19">
        <f t="shared" si="23"/>
        <v>0</v>
      </c>
      <c r="AE19">
        <f t="shared" si="24"/>
        <v>0</v>
      </c>
      <c r="AF19">
        <f t="shared" si="25"/>
        <v>0</v>
      </c>
    </row>
    <row r="20" spans="1:32" ht="12.75">
      <c r="A20" s="11" t="s">
        <v>79</v>
      </c>
      <c r="B20" s="11" t="s">
        <v>128</v>
      </c>
      <c r="C20" s="11" t="s">
        <v>129</v>
      </c>
      <c r="D20" s="11" t="s">
        <v>32</v>
      </c>
      <c r="E20" s="13">
        <v>30</v>
      </c>
      <c r="F20" s="12">
        <v>23389</v>
      </c>
      <c r="G20" s="14">
        <f t="shared" si="0"/>
        <v>630</v>
      </c>
      <c r="H20" s="2">
        <f t="shared" si="1"/>
        <v>1418.9</v>
      </c>
      <c r="I20">
        <f t="shared" si="2"/>
        <v>0</v>
      </c>
      <c r="J20">
        <f t="shared" si="3"/>
        <v>630</v>
      </c>
      <c r="K20">
        <f t="shared" si="4"/>
        <v>0</v>
      </c>
      <c r="L20">
        <f t="shared" si="5"/>
        <v>0</v>
      </c>
      <c r="M20">
        <f t="shared" si="6"/>
        <v>0</v>
      </c>
      <c r="N20">
        <f t="shared" si="7"/>
        <v>0</v>
      </c>
      <c r="O20">
        <f t="shared" si="8"/>
        <v>0</v>
      </c>
      <c r="P20">
        <f t="shared" si="9"/>
        <v>0</v>
      </c>
      <c r="Q20">
        <f t="shared" si="10"/>
        <v>0</v>
      </c>
      <c r="R20">
        <f t="shared" si="11"/>
        <v>0</v>
      </c>
      <c r="S20">
        <f t="shared" si="12"/>
        <v>0</v>
      </c>
      <c r="T20">
        <f t="shared" si="13"/>
        <v>0</v>
      </c>
      <c r="U20">
        <f t="shared" si="14"/>
        <v>0</v>
      </c>
      <c r="V20">
        <f t="shared" si="15"/>
        <v>0</v>
      </c>
      <c r="W20">
        <f t="shared" si="16"/>
        <v>0</v>
      </c>
      <c r="X20">
        <f t="shared" si="17"/>
        <v>0</v>
      </c>
      <c r="Y20">
        <f t="shared" si="18"/>
        <v>0</v>
      </c>
      <c r="Z20">
        <f t="shared" si="19"/>
        <v>0</v>
      </c>
      <c r="AA20">
        <f t="shared" si="20"/>
        <v>0</v>
      </c>
      <c r="AB20">
        <f t="shared" si="21"/>
        <v>0</v>
      </c>
      <c r="AC20">
        <f t="shared" si="22"/>
        <v>0</v>
      </c>
      <c r="AD20">
        <f t="shared" si="23"/>
        <v>0</v>
      </c>
      <c r="AE20">
        <f t="shared" si="24"/>
        <v>0</v>
      </c>
      <c r="AF20">
        <f t="shared" si="25"/>
        <v>0</v>
      </c>
    </row>
    <row r="21" spans="1:33" ht="12.75">
      <c r="A21" s="11" t="s">
        <v>86</v>
      </c>
      <c r="B21" s="11" t="s">
        <v>137</v>
      </c>
      <c r="C21" s="11" t="s">
        <v>129</v>
      </c>
      <c r="D21" s="11" t="s">
        <v>32</v>
      </c>
      <c r="E21" s="13">
        <v>35</v>
      </c>
      <c r="F21" s="12">
        <v>27376</v>
      </c>
      <c r="G21" s="14">
        <f t="shared" si="0"/>
        <v>559</v>
      </c>
      <c r="H21" s="2">
        <f t="shared" si="1"/>
        <v>1657.6</v>
      </c>
      <c r="I21">
        <f t="shared" si="2"/>
        <v>0</v>
      </c>
      <c r="J21">
        <f t="shared" si="3"/>
        <v>0</v>
      </c>
      <c r="K21">
        <f t="shared" si="4"/>
        <v>559</v>
      </c>
      <c r="L21">
        <f t="shared" si="5"/>
        <v>0</v>
      </c>
      <c r="M21">
        <f t="shared" si="6"/>
        <v>0</v>
      </c>
      <c r="N21">
        <f t="shared" si="7"/>
        <v>0</v>
      </c>
      <c r="O21">
        <f t="shared" si="8"/>
        <v>0</v>
      </c>
      <c r="P21">
        <f t="shared" si="9"/>
        <v>0</v>
      </c>
      <c r="Q21">
        <f t="shared" si="10"/>
        <v>0</v>
      </c>
      <c r="R21">
        <f t="shared" si="11"/>
        <v>0</v>
      </c>
      <c r="S21">
        <f t="shared" si="12"/>
        <v>0</v>
      </c>
      <c r="T21">
        <f t="shared" si="13"/>
        <v>0</v>
      </c>
      <c r="U21">
        <f t="shared" si="14"/>
        <v>0</v>
      </c>
      <c r="V21">
        <f t="shared" si="15"/>
        <v>0</v>
      </c>
      <c r="W21">
        <f t="shared" si="16"/>
        <v>0</v>
      </c>
      <c r="X21">
        <f t="shared" si="17"/>
        <v>0</v>
      </c>
      <c r="Y21">
        <f t="shared" si="18"/>
        <v>0</v>
      </c>
      <c r="Z21">
        <f t="shared" si="19"/>
        <v>0</v>
      </c>
      <c r="AA21">
        <f t="shared" si="20"/>
        <v>0</v>
      </c>
      <c r="AB21">
        <f t="shared" si="21"/>
        <v>0</v>
      </c>
      <c r="AC21">
        <f t="shared" si="22"/>
        <v>0</v>
      </c>
      <c r="AD21">
        <f t="shared" si="23"/>
        <v>0</v>
      </c>
      <c r="AE21">
        <f t="shared" si="24"/>
        <v>0</v>
      </c>
      <c r="AF21">
        <f t="shared" si="25"/>
        <v>0</v>
      </c>
      <c r="AG21" s="21">
        <f>SUM(G18:G21)</f>
        <v>2664</v>
      </c>
    </row>
    <row r="22" spans="1:32" ht="12.75">
      <c r="A22" s="11" t="s">
        <v>60</v>
      </c>
      <c r="B22" s="11" t="s">
        <v>116</v>
      </c>
      <c r="C22" s="11" t="s">
        <v>52</v>
      </c>
      <c r="D22" s="11" t="s">
        <v>32</v>
      </c>
      <c r="E22" s="13">
        <v>40</v>
      </c>
      <c r="F22" s="12">
        <v>18187</v>
      </c>
      <c r="G22" s="14">
        <f t="shared" si="0"/>
        <v>846</v>
      </c>
      <c r="H22" s="2">
        <f t="shared" si="1"/>
        <v>1098.7</v>
      </c>
      <c r="I22">
        <f t="shared" si="2"/>
        <v>0</v>
      </c>
      <c r="J22">
        <f t="shared" si="3"/>
        <v>0</v>
      </c>
      <c r="K22">
        <f t="shared" si="4"/>
        <v>0</v>
      </c>
      <c r="L22">
        <f t="shared" si="5"/>
        <v>846</v>
      </c>
      <c r="M22">
        <f t="shared" si="6"/>
        <v>0</v>
      </c>
      <c r="N22">
        <f t="shared" si="7"/>
        <v>0</v>
      </c>
      <c r="O22">
        <f t="shared" si="8"/>
        <v>0</v>
      </c>
      <c r="P22">
        <f t="shared" si="9"/>
        <v>0</v>
      </c>
      <c r="Q22">
        <f t="shared" si="10"/>
        <v>0</v>
      </c>
      <c r="R22">
        <f t="shared" si="11"/>
        <v>0</v>
      </c>
      <c r="S22">
        <f t="shared" si="12"/>
        <v>0</v>
      </c>
      <c r="T22">
        <f t="shared" si="13"/>
        <v>0</v>
      </c>
      <c r="U22">
        <f t="shared" si="14"/>
        <v>0</v>
      </c>
      <c r="V22">
        <f t="shared" si="15"/>
        <v>0</v>
      </c>
      <c r="W22">
        <f t="shared" si="16"/>
        <v>0</v>
      </c>
      <c r="X22">
        <f t="shared" si="17"/>
        <v>0</v>
      </c>
      <c r="Y22">
        <f t="shared" si="18"/>
        <v>0</v>
      </c>
      <c r="Z22">
        <f t="shared" si="19"/>
        <v>0</v>
      </c>
      <c r="AA22">
        <f t="shared" si="20"/>
        <v>0</v>
      </c>
      <c r="AB22">
        <f t="shared" si="21"/>
        <v>0</v>
      </c>
      <c r="AC22">
        <f t="shared" si="22"/>
        <v>0</v>
      </c>
      <c r="AD22">
        <f t="shared" si="23"/>
        <v>0</v>
      </c>
      <c r="AE22">
        <f t="shared" si="24"/>
        <v>0</v>
      </c>
      <c r="AF22">
        <f t="shared" si="25"/>
        <v>0</v>
      </c>
    </row>
    <row r="23" spans="1:32" ht="12.75">
      <c r="A23" s="11" t="s">
        <v>64</v>
      </c>
      <c r="B23" s="11" t="s">
        <v>115</v>
      </c>
      <c r="C23" s="11" t="s">
        <v>52</v>
      </c>
      <c r="D23" s="11" t="s">
        <v>32</v>
      </c>
      <c r="E23" s="13">
        <v>50</v>
      </c>
      <c r="F23" s="12">
        <v>20030</v>
      </c>
      <c r="G23" s="14">
        <f t="shared" si="0"/>
        <v>822</v>
      </c>
      <c r="H23" s="2">
        <f t="shared" si="1"/>
        <v>1203</v>
      </c>
      <c r="I23">
        <f t="shared" si="2"/>
        <v>0</v>
      </c>
      <c r="J23">
        <f t="shared" si="3"/>
        <v>0</v>
      </c>
      <c r="K23">
        <f t="shared" si="4"/>
        <v>0</v>
      </c>
      <c r="L23">
        <f t="shared" si="5"/>
        <v>0</v>
      </c>
      <c r="M23">
        <f t="shared" si="6"/>
        <v>0</v>
      </c>
      <c r="N23">
        <f t="shared" si="7"/>
        <v>822</v>
      </c>
      <c r="O23">
        <f t="shared" si="8"/>
        <v>0</v>
      </c>
      <c r="P23">
        <f t="shared" si="9"/>
        <v>0</v>
      </c>
      <c r="Q23">
        <f t="shared" si="10"/>
        <v>0</v>
      </c>
      <c r="R23">
        <f t="shared" si="11"/>
        <v>0</v>
      </c>
      <c r="S23">
        <f t="shared" si="12"/>
        <v>0</v>
      </c>
      <c r="T23">
        <f t="shared" si="13"/>
        <v>0</v>
      </c>
      <c r="U23">
        <f t="shared" si="14"/>
        <v>0</v>
      </c>
      <c r="V23">
        <f t="shared" si="15"/>
        <v>0</v>
      </c>
      <c r="W23">
        <f t="shared" si="16"/>
        <v>0</v>
      </c>
      <c r="X23">
        <f t="shared" si="17"/>
        <v>0</v>
      </c>
      <c r="Y23">
        <f t="shared" si="18"/>
        <v>0</v>
      </c>
      <c r="Z23">
        <f t="shared" si="19"/>
        <v>0</v>
      </c>
      <c r="AA23">
        <f t="shared" si="20"/>
        <v>0</v>
      </c>
      <c r="AB23">
        <f t="shared" si="21"/>
        <v>0</v>
      </c>
      <c r="AC23">
        <f t="shared" si="22"/>
        <v>0</v>
      </c>
      <c r="AD23">
        <f t="shared" si="23"/>
        <v>0</v>
      </c>
      <c r="AE23">
        <f t="shared" si="24"/>
        <v>0</v>
      </c>
      <c r="AF23">
        <f t="shared" si="25"/>
        <v>0</v>
      </c>
    </row>
    <row r="24" spans="1:32" ht="12.75">
      <c r="A24" s="11" t="s">
        <v>85</v>
      </c>
      <c r="B24" s="11" t="s">
        <v>113</v>
      </c>
      <c r="C24" s="11" t="s">
        <v>52</v>
      </c>
      <c r="D24" s="11" t="s">
        <v>32</v>
      </c>
      <c r="E24" s="13">
        <v>70</v>
      </c>
      <c r="F24" s="12">
        <v>26531</v>
      </c>
      <c r="G24" s="14">
        <f t="shared" si="0"/>
        <v>740</v>
      </c>
      <c r="H24" s="2">
        <f t="shared" si="1"/>
        <v>1613.1</v>
      </c>
      <c r="I24">
        <f t="shared" si="2"/>
        <v>0</v>
      </c>
      <c r="J24">
        <f t="shared" si="3"/>
        <v>0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0</v>
      </c>
      <c r="O24">
        <f t="shared" si="8"/>
        <v>0</v>
      </c>
      <c r="P24">
        <f t="shared" si="9"/>
        <v>0</v>
      </c>
      <c r="Q24">
        <f t="shared" si="10"/>
        <v>0</v>
      </c>
      <c r="R24">
        <f t="shared" si="11"/>
        <v>740</v>
      </c>
      <c r="S24">
        <f t="shared" si="12"/>
        <v>0</v>
      </c>
      <c r="T24">
        <f t="shared" si="13"/>
        <v>0</v>
      </c>
      <c r="U24">
        <f t="shared" si="14"/>
        <v>0</v>
      </c>
      <c r="V24">
        <f t="shared" si="15"/>
        <v>0</v>
      </c>
      <c r="W24">
        <f t="shared" si="16"/>
        <v>0</v>
      </c>
      <c r="X24">
        <f t="shared" si="17"/>
        <v>0</v>
      </c>
      <c r="Y24">
        <f t="shared" si="18"/>
        <v>0</v>
      </c>
      <c r="Z24">
        <f t="shared" si="19"/>
        <v>0</v>
      </c>
      <c r="AA24">
        <f t="shared" si="20"/>
        <v>0</v>
      </c>
      <c r="AB24">
        <f t="shared" si="21"/>
        <v>0</v>
      </c>
      <c r="AC24">
        <f t="shared" si="22"/>
        <v>0</v>
      </c>
      <c r="AD24">
        <f t="shared" si="23"/>
        <v>0</v>
      </c>
      <c r="AE24">
        <f t="shared" si="24"/>
        <v>0</v>
      </c>
      <c r="AF24">
        <f t="shared" si="25"/>
        <v>0</v>
      </c>
    </row>
    <row r="25" spans="1:33" ht="12.75">
      <c r="A25" s="11" t="s">
        <v>81</v>
      </c>
      <c r="B25" s="11" t="s">
        <v>114</v>
      </c>
      <c r="C25" s="11" t="s">
        <v>52</v>
      </c>
      <c r="D25" s="11" t="s">
        <v>32</v>
      </c>
      <c r="E25" s="13">
        <v>55</v>
      </c>
      <c r="F25" s="12">
        <v>23445</v>
      </c>
      <c r="G25" s="14">
        <f t="shared" si="0"/>
        <v>727</v>
      </c>
      <c r="H25" s="2">
        <f t="shared" si="1"/>
        <v>1424.5</v>
      </c>
      <c r="I25">
        <f t="shared" si="2"/>
        <v>0</v>
      </c>
      <c r="J25">
        <f t="shared" si="3"/>
        <v>0</v>
      </c>
      <c r="K25">
        <f t="shared" si="4"/>
        <v>0</v>
      </c>
      <c r="L25">
        <f t="shared" si="5"/>
        <v>0</v>
      </c>
      <c r="M25">
        <f t="shared" si="6"/>
        <v>0</v>
      </c>
      <c r="N25">
        <f t="shared" si="7"/>
        <v>0</v>
      </c>
      <c r="O25">
        <f t="shared" si="8"/>
        <v>727</v>
      </c>
      <c r="P25">
        <f t="shared" si="9"/>
        <v>0</v>
      </c>
      <c r="Q25">
        <f t="shared" si="10"/>
        <v>0</v>
      </c>
      <c r="R25">
        <f t="shared" si="11"/>
        <v>0</v>
      </c>
      <c r="S25">
        <f t="shared" si="12"/>
        <v>0</v>
      </c>
      <c r="T25">
        <f t="shared" si="13"/>
        <v>0</v>
      </c>
      <c r="U25">
        <f t="shared" si="14"/>
        <v>0</v>
      </c>
      <c r="V25">
        <f t="shared" si="15"/>
        <v>0</v>
      </c>
      <c r="W25">
        <f t="shared" si="16"/>
        <v>0</v>
      </c>
      <c r="X25">
        <f t="shared" si="17"/>
        <v>0</v>
      </c>
      <c r="Y25">
        <f t="shared" si="18"/>
        <v>0</v>
      </c>
      <c r="Z25">
        <f t="shared" si="19"/>
        <v>0</v>
      </c>
      <c r="AA25">
        <f t="shared" si="20"/>
        <v>0</v>
      </c>
      <c r="AB25">
        <f t="shared" si="21"/>
        <v>0</v>
      </c>
      <c r="AC25">
        <f t="shared" si="22"/>
        <v>0</v>
      </c>
      <c r="AD25">
        <f t="shared" si="23"/>
        <v>0</v>
      </c>
      <c r="AE25">
        <f t="shared" si="24"/>
        <v>0</v>
      </c>
      <c r="AF25">
        <f t="shared" si="25"/>
        <v>0</v>
      </c>
      <c r="AG25" s="21">
        <f>SUM(G22:G25)</f>
        <v>3135</v>
      </c>
    </row>
    <row r="26" spans="1:32" ht="12.75">
      <c r="A26" s="11" t="s">
        <v>89</v>
      </c>
      <c r="B26" s="11" t="s">
        <v>126</v>
      </c>
      <c r="C26" s="11" t="s">
        <v>127</v>
      </c>
      <c r="D26" s="11" t="s">
        <v>32</v>
      </c>
      <c r="E26" s="13">
        <v>70</v>
      </c>
      <c r="F26" s="12">
        <v>28482</v>
      </c>
      <c r="G26" s="14">
        <f t="shared" si="0"/>
        <v>691</v>
      </c>
      <c r="H26" s="2">
        <f t="shared" si="1"/>
        <v>1728.2</v>
      </c>
      <c r="I26">
        <f t="shared" si="2"/>
        <v>0</v>
      </c>
      <c r="J26">
        <f t="shared" si="3"/>
        <v>0</v>
      </c>
      <c r="K26">
        <f t="shared" si="4"/>
        <v>0</v>
      </c>
      <c r="L26">
        <f t="shared" si="5"/>
        <v>0</v>
      </c>
      <c r="M26">
        <f t="shared" si="6"/>
        <v>0</v>
      </c>
      <c r="N26">
        <f t="shared" si="7"/>
        <v>0</v>
      </c>
      <c r="O26">
        <f t="shared" si="8"/>
        <v>0</v>
      </c>
      <c r="P26">
        <f t="shared" si="9"/>
        <v>0</v>
      </c>
      <c r="Q26">
        <f t="shared" si="10"/>
        <v>0</v>
      </c>
      <c r="R26">
        <f t="shared" si="11"/>
        <v>691</v>
      </c>
      <c r="S26">
        <f t="shared" si="12"/>
        <v>0</v>
      </c>
      <c r="T26">
        <f t="shared" si="13"/>
        <v>0</v>
      </c>
      <c r="U26">
        <f t="shared" si="14"/>
        <v>0</v>
      </c>
      <c r="V26">
        <f t="shared" si="15"/>
        <v>0</v>
      </c>
      <c r="W26">
        <f t="shared" si="16"/>
        <v>0</v>
      </c>
      <c r="X26">
        <f t="shared" si="17"/>
        <v>0</v>
      </c>
      <c r="Y26">
        <f t="shared" si="18"/>
        <v>0</v>
      </c>
      <c r="Z26">
        <f t="shared" si="19"/>
        <v>0</v>
      </c>
      <c r="AA26">
        <f t="shared" si="20"/>
        <v>0</v>
      </c>
      <c r="AB26">
        <f t="shared" si="21"/>
        <v>0</v>
      </c>
      <c r="AC26">
        <f t="shared" si="22"/>
        <v>0</v>
      </c>
      <c r="AD26">
        <f t="shared" si="23"/>
        <v>0</v>
      </c>
      <c r="AE26">
        <f t="shared" si="24"/>
        <v>0</v>
      </c>
      <c r="AF26">
        <f t="shared" si="25"/>
        <v>0</v>
      </c>
    </row>
    <row r="27" spans="1:32" ht="12.75">
      <c r="A27" s="11" t="s">
        <v>75</v>
      </c>
      <c r="B27" s="11" t="s">
        <v>119</v>
      </c>
      <c r="C27" s="11" t="s">
        <v>93</v>
      </c>
      <c r="D27" s="11" t="s">
        <v>32</v>
      </c>
      <c r="E27" s="13">
        <v>65</v>
      </c>
      <c r="F27" s="12">
        <v>22123</v>
      </c>
      <c r="G27" s="14">
        <f t="shared" si="0"/>
        <v>896</v>
      </c>
      <c r="H27" s="2">
        <f t="shared" si="1"/>
        <v>1332.3</v>
      </c>
      <c r="I27">
        <f t="shared" si="2"/>
        <v>0</v>
      </c>
      <c r="J27">
        <f t="shared" si="3"/>
        <v>0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0</v>
      </c>
      <c r="O27">
        <f t="shared" si="8"/>
        <v>0</v>
      </c>
      <c r="P27">
        <f t="shared" si="9"/>
        <v>0</v>
      </c>
      <c r="Q27">
        <f t="shared" si="10"/>
        <v>896</v>
      </c>
      <c r="R27">
        <f t="shared" si="11"/>
        <v>0</v>
      </c>
      <c r="S27">
        <f t="shared" si="12"/>
        <v>0</v>
      </c>
      <c r="T27">
        <f t="shared" si="13"/>
        <v>0</v>
      </c>
      <c r="U27">
        <f t="shared" si="14"/>
        <v>0</v>
      </c>
      <c r="V27">
        <f t="shared" si="15"/>
        <v>0</v>
      </c>
      <c r="W27">
        <f t="shared" si="16"/>
        <v>0</v>
      </c>
      <c r="X27">
        <f t="shared" si="17"/>
        <v>0</v>
      </c>
      <c r="Y27">
        <f t="shared" si="18"/>
        <v>0</v>
      </c>
      <c r="Z27">
        <f t="shared" si="19"/>
        <v>0</v>
      </c>
      <c r="AA27">
        <f t="shared" si="20"/>
        <v>0</v>
      </c>
      <c r="AB27">
        <f t="shared" si="21"/>
        <v>0</v>
      </c>
      <c r="AC27">
        <f t="shared" si="22"/>
        <v>0</v>
      </c>
      <c r="AD27">
        <f t="shared" si="23"/>
        <v>0</v>
      </c>
      <c r="AE27">
        <f t="shared" si="24"/>
        <v>0</v>
      </c>
      <c r="AF27">
        <f t="shared" si="25"/>
        <v>0</v>
      </c>
    </row>
    <row r="28" spans="1:32" ht="12.75">
      <c r="A28" s="11" t="s">
        <v>61</v>
      </c>
      <c r="B28" s="11" t="s">
        <v>117</v>
      </c>
      <c r="C28" s="11" t="s">
        <v>93</v>
      </c>
      <c r="D28" s="11" t="s">
        <v>32</v>
      </c>
      <c r="E28" s="13">
        <v>45</v>
      </c>
      <c r="F28" s="12">
        <v>19326</v>
      </c>
      <c r="G28" s="14">
        <f t="shared" si="0"/>
        <v>816</v>
      </c>
      <c r="H28" s="2">
        <f t="shared" si="1"/>
        <v>1172.6</v>
      </c>
      <c r="I28">
        <f t="shared" si="2"/>
        <v>0</v>
      </c>
      <c r="J28">
        <f t="shared" si="3"/>
        <v>0</v>
      </c>
      <c r="K28">
        <f t="shared" si="4"/>
        <v>0</v>
      </c>
      <c r="L28">
        <f t="shared" si="5"/>
        <v>0</v>
      </c>
      <c r="M28">
        <f t="shared" si="6"/>
        <v>816</v>
      </c>
      <c r="N28">
        <f t="shared" si="7"/>
        <v>0</v>
      </c>
      <c r="O28">
        <f t="shared" si="8"/>
        <v>0</v>
      </c>
      <c r="P28">
        <f t="shared" si="9"/>
        <v>0</v>
      </c>
      <c r="Q28">
        <f t="shared" si="10"/>
        <v>0</v>
      </c>
      <c r="R28">
        <f t="shared" si="11"/>
        <v>0</v>
      </c>
      <c r="S28">
        <f t="shared" si="12"/>
        <v>0</v>
      </c>
      <c r="T28">
        <f t="shared" si="13"/>
        <v>0</v>
      </c>
      <c r="U28">
        <f t="shared" si="14"/>
        <v>0</v>
      </c>
      <c r="V28">
        <f t="shared" si="15"/>
        <v>0</v>
      </c>
      <c r="W28">
        <f t="shared" si="16"/>
        <v>0</v>
      </c>
      <c r="X28">
        <f t="shared" si="17"/>
        <v>0</v>
      </c>
      <c r="Y28">
        <f t="shared" si="18"/>
        <v>0</v>
      </c>
      <c r="Z28">
        <f t="shared" si="19"/>
        <v>0</v>
      </c>
      <c r="AA28">
        <f t="shared" si="20"/>
        <v>0</v>
      </c>
      <c r="AB28">
        <f t="shared" si="21"/>
        <v>0</v>
      </c>
      <c r="AC28">
        <f t="shared" si="22"/>
        <v>0</v>
      </c>
      <c r="AD28">
        <f t="shared" si="23"/>
        <v>0</v>
      </c>
      <c r="AE28">
        <f t="shared" si="24"/>
        <v>0</v>
      </c>
      <c r="AF28">
        <f t="shared" si="25"/>
        <v>0</v>
      </c>
    </row>
    <row r="29" spans="1:32" ht="12.75">
      <c r="A29" s="11" t="s">
        <v>74</v>
      </c>
      <c r="B29" s="11" t="s">
        <v>121</v>
      </c>
      <c r="C29" s="11" t="s">
        <v>93</v>
      </c>
      <c r="D29" s="11" t="s">
        <v>32</v>
      </c>
      <c r="E29" s="13">
        <v>50</v>
      </c>
      <c r="F29" s="12">
        <v>21586</v>
      </c>
      <c r="G29" s="14">
        <f t="shared" si="0"/>
        <v>750</v>
      </c>
      <c r="H29" s="2">
        <f t="shared" si="1"/>
        <v>1318.6</v>
      </c>
      <c r="I29">
        <f t="shared" si="2"/>
        <v>0</v>
      </c>
      <c r="J29">
        <f t="shared" si="3"/>
        <v>0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750</v>
      </c>
      <c r="O29">
        <f t="shared" si="8"/>
        <v>0</v>
      </c>
      <c r="P29">
        <f t="shared" si="9"/>
        <v>0</v>
      </c>
      <c r="Q29">
        <f t="shared" si="10"/>
        <v>0</v>
      </c>
      <c r="R29">
        <f t="shared" si="11"/>
        <v>0</v>
      </c>
      <c r="S29">
        <f t="shared" si="12"/>
        <v>0</v>
      </c>
      <c r="T29">
        <f t="shared" si="13"/>
        <v>0</v>
      </c>
      <c r="U29">
        <f t="shared" si="14"/>
        <v>0</v>
      </c>
      <c r="V29">
        <f t="shared" si="15"/>
        <v>0</v>
      </c>
      <c r="W29">
        <f t="shared" si="16"/>
        <v>0</v>
      </c>
      <c r="X29">
        <f t="shared" si="17"/>
        <v>0</v>
      </c>
      <c r="Y29">
        <f t="shared" si="18"/>
        <v>0</v>
      </c>
      <c r="Z29">
        <f t="shared" si="19"/>
        <v>0</v>
      </c>
      <c r="AA29">
        <f t="shared" si="20"/>
        <v>0</v>
      </c>
      <c r="AB29">
        <f t="shared" si="21"/>
        <v>0</v>
      </c>
      <c r="AC29">
        <f t="shared" si="22"/>
        <v>0</v>
      </c>
      <c r="AD29">
        <f t="shared" si="23"/>
        <v>0</v>
      </c>
      <c r="AE29">
        <f t="shared" si="24"/>
        <v>0</v>
      </c>
      <c r="AF29">
        <f t="shared" si="25"/>
        <v>0</v>
      </c>
    </row>
    <row r="30" spans="1:33" ht="12.75">
      <c r="A30" s="11" t="s">
        <v>71</v>
      </c>
      <c r="B30" s="11" t="s">
        <v>118</v>
      </c>
      <c r="C30" s="11" t="s">
        <v>93</v>
      </c>
      <c r="D30" s="11" t="s">
        <v>32</v>
      </c>
      <c r="E30" s="13">
        <v>40</v>
      </c>
      <c r="F30" s="12">
        <v>20547</v>
      </c>
      <c r="G30" s="14">
        <f t="shared" si="0"/>
        <v>741</v>
      </c>
      <c r="H30" s="2">
        <f t="shared" si="1"/>
        <v>1254.7</v>
      </c>
      <c r="I30">
        <f t="shared" si="2"/>
        <v>0</v>
      </c>
      <c r="J30">
        <f t="shared" si="3"/>
        <v>0</v>
      </c>
      <c r="K30">
        <f t="shared" si="4"/>
        <v>0</v>
      </c>
      <c r="L30">
        <f t="shared" si="5"/>
        <v>741</v>
      </c>
      <c r="M30">
        <f t="shared" si="6"/>
        <v>0</v>
      </c>
      <c r="N30">
        <f t="shared" si="7"/>
        <v>0</v>
      </c>
      <c r="O30">
        <f t="shared" si="8"/>
        <v>0</v>
      </c>
      <c r="P30">
        <f t="shared" si="9"/>
        <v>0</v>
      </c>
      <c r="Q30">
        <f t="shared" si="10"/>
        <v>0</v>
      </c>
      <c r="R30">
        <f t="shared" si="11"/>
        <v>0</v>
      </c>
      <c r="S30">
        <f t="shared" si="12"/>
        <v>0</v>
      </c>
      <c r="T30">
        <f t="shared" si="13"/>
        <v>0</v>
      </c>
      <c r="U30">
        <f t="shared" si="14"/>
        <v>0</v>
      </c>
      <c r="V30">
        <f t="shared" si="15"/>
        <v>0</v>
      </c>
      <c r="W30">
        <f t="shared" si="16"/>
        <v>0</v>
      </c>
      <c r="X30">
        <f t="shared" si="17"/>
        <v>0</v>
      </c>
      <c r="Y30">
        <f t="shared" si="18"/>
        <v>0</v>
      </c>
      <c r="Z30">
        <f t="shared" si="19"/>
        <v>0</v>
      </c>
      <c r="AA30">
        <f t="shared" si="20"/>
        <v>0</v>
      </c>
      <c r="AB30">
        <f t="shared" si="21"/>
        <v>0</v>
      </c>
      <c r="AC30">
        <f t="shared" si="22"/>
        <v>0</v>
      </c>
      <c r="AD30">
        <f t="shared" si="23"/>
        <v>0</v>
      </c>
      <c r="AE30">
        <f t="shared" si="24"/>
        <v>0</v>
      </c>
      <c r="AF30">
        <f t="shared" si="25"/>
        <v>0</v>
      </c>
      <c r="AG30" s="21">
        <f>SUM(G27:G30)</f>
        <v>3203</v>
      </c>
    </row>
    <row r="31" spans="1:32" ht="12.75">
      <c r="A31" s="11" t="s">
        <v>67</v>
      </c>
      <c r="B31" s="11" t="s">
        <v>120</v>
      </c>
      <c r="C31" s="11" t="s">
        <v>93</v>
      </c>
      <c r="D31" s="11" t="s">
        <v>32</v>
      </c>
      <c r="E31" s="13">
        <v>30</v>
      </c>
      <c r="F31" s="12">
        <v>20193</v>
      </c>
      <c r="G31" s="14">
        <f t="shared" si="0"/>
        <v>734</v>
      </c>
      <c r="H31" s="2">
        <f t="shared" si="1"/>
        <v>1219.3</v>
      </c>
      <c r="I31">
        <f t="shared" si="2"/>
        <v>0</v>
      </c>
      <c r="J31">
        <f t="shared" si="3"/>
        <v>734</v>
      </c>
      <c r="K31">
        <f t="shared" si="4"/>
        <v>0</v>
      </c>
      <c r="L31">
        <f t="shared" si="5"/>
        <v>0</v>
      </c>
      <c r="M31">
        <f t="shared" si="6"/>
        <v>0</v>
      </c>
      <c r="N31">
        <f t="shared" si="7"/>
        <v>0</v>
      </c>
      <c r="O31">
        <f t="shared" si="8"/>
        <v>0</v>
      </c>
      <c r="P31">
        <f t="shared" si="9"/>
        <v>0</v>
      </c>
      <c r="Q31">
        <f t="shared" si="10"/>
        <v>0</v>
      </c>
      <c r="R31">
        <f t="shared" si="11"/>
        <v>0</v>
      </c>
      <c r="S31">
        <f t="shared" si="12"/>
        <v>0</v>
      </c>
      <c r="T31">
        <f t="shared" si="13"/>
        <v>0</v>
      </c>
      <c r="U31">
        <f t="shared" si="14"/>
        <v>0</v>
      </c>
      <c r="V31">
        <f t="shared" si="15"/>
        <v>0</v>
      </c>
      <c r="W31">
        <f t="shared" si="16"/>
        <v>0</v>
      </c>
      <c r="X31">
        <f t="shared" si="17"/>
        <v>0</v>
      </c>
      <c r="Y31">
        <f t="shared" si="18"/>
        <v>0</v>
      </c>
      <c r="Z31">
        <f t="shared" si="19"/>
        <v>0</v>
      </c>
      <c r="AA31">
        <f t="shared" si="20"/>
        <v>0</v>
      </c>
      <c r="AB31">
        <f t="shared" si="21"/>
        <v>0</v>
      </c>
      <c r="AC31">
        <f t="shared" si="22"/>
        <v>0</v>
      </c>
      <c r="AD31">
        <f t="shared" si="23"/>
        <v>0</v>
      </c>
      <c r="AE31">
        <f t="shared" si="24"/>
        <v>0</v>
      </c>
      <c r="AF31">
        <f t="shared" si="25"/>
        <v>0</v>
      </c>
    </row>
    <row r="32" spans="1:32" ht="12.75">
      <c r="A32" s="11" t="s">
        <v>80</v>
      </c>
      <c r="B32" s="11" t="s">
        <v>150</v>
      </c>
      <c r="C32" s="11" t="s">
        <v>93</v>
      </c>
      <c r="D32" s="11" t="s">
        <v>32</v>
      </c>
      <c r="E32" s="13">
        <v>40</v>
      </c>
      <c r="F32" s="12">
        <v>23436</v>
      </c>
      <c r="G32" s="14">
        <f t="shared" si="0"/>
        <v>653</v>
      </c>
      <c r="H32" s="2">
        <f t="shared" si="1"/>
        <v>1423.6</v>
      </c>
      <c r="I32">
        <f aca="true" t="shared" si="26" ref="I32:I38">IF(AND(D32="M",E32=25),INT(895/H32*1000),0)</f>
        <v>0</v>
      </c>
      <c r="J32">
        <f aca="true" t="shared" si="27" ref="J32:J38">IF(AND(D32="M",E32=30),INT(895/H32*1000),0)</f>
        <v>0</v>
      </c>
      <c r="K32">
        <f aca="true" t="shared" si="28" ref="K32:K38">IF(AND(D32="M",E32=35),INT(927/H32*1000),0)</f>
        <v>0</v>
      </c>
      <c r="L32">
        <f aca="true" t="shared" si="29" ref="L32:L38">IF(AND(D32="M",E32=40),INT(930/H32*1000),0)</f>
        <v>653</v>
      </c>
      <c r="M32">
        <f aca="true" t="shared" si="30" ref="M32:M38">IF(AND(D32="M",E32=45),INT(958/H32*1000),0)</f>
        <v>0</v>
      </c>
      <c r="N32">
        <f aca="true" t="shared" si="31" ref="N32:N38">IF(AND(D32="M",E32=50),INT(989/H32*1000),0)</f>
        <v>0</v>
      </c>
      <c r="O32">
        <f aca="true" t="shared" si="32" ref="O32:O38">IF(AND(D32="M",E32=55),INT(1036/H32*1000),0)</f>
        <v>0</v>
      </c>
      <c r="P32">
        <f aca="true" t="shared" si="33" ref="P32:P38">IF(AND(D32="M",E32=60),INT(1195/H32*1000),0)</f>
        <v>0</v>
      </c>
      <c r="Q32">
        <f aca="true" t="shared" si="34" ref="Q32:Q38">IF(AND(D32="M",E32=65),INT(1195/H32*1000),0)</f>
        <v>0</v>
      </c>
      <c r="R32">
        <f aca="true" t="shared" si="35" ref="R32:R38">IF(AND(D32="M",E32=70),INT(1195/H32*1000),0)</f>
        <v>0</v>
      </c>
      <c r="S32">
        <f aca="true" t="shared" si="36" ref="S32:S38">IF(AND(D32="M",E32=75),INT(1195/H32*1000),0)</f>
        <v>0</v>
      </c>
      <c r="T32">
        <f aca="true" t="shared" si="37" ref="T32:T38">IF(AND(D32="M",E32=80),INT(1195/H32*1000),0)</f>
        <v>0</v>
      </c>
      <c r="U32">
        <f aca="true" t="shared" si="38" ref="U32:U38">IF(AND(D32="F",E32=25),INT(1062/H32*1000),0)</f>
        <v>0</v>
      </c>
      <c r="V32">
        <f aca="true" t="shared" si="39" ref="V32:V38">IF(AND(D32="F",E32=30),INT(1062/H32*1000),0)</f>
        <v>0</v>
      </c>
      <c r="W32">
        <f aca="true" t="shared" si="40" ref="W32:W38">IF(AND(D32="F",E32=35),INT(1098/H32*1000),0)</f>
        <v>0</v>
      </c>
      <c r="X32">
        <f aca="true" t="shared" si="41" ref="X32:X38">IF(AND(D32="F",E32=40),INT(1107/H32*1000),0)</f>
        <v>0</v>
      </c>
      <c r="Y32">
        <f aca="true" t="shared" si="42" ref="Y32:Y38">IF(AND(D32="F",E32=45),INT(1172/H32*1000),0)</f>
        <v>0</v>
      </c>
      <c r="Z32">
        <f aca="true" t="shared" si="43" ref="Z32:Z38">IF(AND(D32="F",E32=50),INT(1202/H32*1000),0)</f>
        <v>0</v>
      </c>
      <c r="AA32">
        <f aca="true" t="shared" si="44" ref="AA32:AA38">IF(AND(D32="F",E32=55),INT(1292/H32*1000),0)</f>
        <v>0</v>
      </c>
      <c r="AB32">
        <f aca="true" t="shared" si="45" ref="AB32:AB38">IF(AND(D32="F",E32=60),INT(1386/H32*1000),0)</f>
        <v>0</v>
      </c>
      <c r="AC32">
        <f aca="true" t="shared" si="46" ref="AC32:AC38">IF(AND(D32="F",E32=65),INT(1386/H32*1000),0)</f>
        <v>0</v>
      </c>
      <c r="AD32">
        <f aca="true" t="shared" si="47" ref="AD32:AD38">IF(AND(D32="F",E32=70),INT(1386/H32*1000),0)</f>
        <v>0</v>
      </c>
      <c r="AE32">
        <f aca="true" t="shared" si="48" ref="AE32:AE38">IF(AND(D32="F",E32=75),INT(1386/H32*1000),0)</f>
        <v>0</v>
      </c>
      <c r="AF32">
        <f aca="true" t="shared" si="49" ref="AF32:AF38">IF(AND(D32="F",E32=80),INT(1386/H32*1000),0)</f>
        <v>0</v>
      </c>
    </row>
    <row r="33" spans="1:32" ht="12.75">
      <c r="A33" s="11" t="s">
        <v>58</v>
      </c>
      <c r="B33" s="11" t="s">
        <v>105</v>
      </c>
      <c r="C33" s="11" t="s">
        <v>51</v>
      </c>
      <c r="D33" s="11" t="s">
        <v>32</v>
      </c>
      <c r="E33" s="13">
        <v>50</v>
      </c>
      <c r="F33" s="12">
        <v>18089</v>
      </c>
      <c r="G33" s="14">
        <f>SUM(I33:AF33)</f>
        <v>908</v>
      </c>
      <c r="H33" s="2">
        <f t="shared" si="1"/>
        <v>1088.9</v>
      </c>
      <c r="I33">
        <f t="shared" si="26"/>
        <v>0</v>
      </c>
      <c r="J33">
        <f t="shared" si="27"/>
        <v>0</v>
      </c>
      <c r="K33">
        <f t="shared" si="28"/>
        <v>0</v>
      </c>
      <c r="L33">
        <f t="shared" si="29"/>
        <v>0</v>
      </c>
      <c r="M33">
        <f t="shared" si="30"/>
        <v>0</v>
      </c>
      <c r="N33">
        <f t="shared" si="31"/>
        <v>908</v>
      </c>
      <c r="O33">
        <f t="shared" si="32"/>
        <v>0</v>
      </c>
      <c r="P33">
        <f t="shared" si="33"/>
        <v>0</v>
      </c>
      <c r="Q33">
        <f t="shared" si="34"/>
        <v>0</v>
      </c>
      <c r="R33">
        <f t="shared" si="35"/>
        <v>0</v>
      </c>
      <c r="S33">
        <f t="shared" si="36"/>
        <v>0</v>
      </c>
      <c r="T33">
        <f t="shared" si="37"/>
        <v>0</v>
      </c>
      <c r="U33">
        <f t="shared" si="38"/>
        <v>0</v>
      </c>
      <c r="V33">
        <f t="shared" si="39"/>
        <v>0</v>
      </c>
      <c r="W33">
        <f t="shared" si="40"/>
        <v>0</v>
      </c>
      <c r="X33">
        <f t="shared" si="41"/>
        <v>0</v>
      </c>
      <c r="Y33">
        <f t="shared" si="42"/>
        <v>0</v>
      </c>
      <c r="Z33">
        <f t="shared" si="43"/>
        <v>0</v>
      </c>
      <c r="AA33">
        <f t="shared" si="44"/>
        <v>0</v>
      </c>
      <c r="AB33">
        <f t="shared" si="45"/>
        <v>0</v>
      </c>
      <c r="AC33">
        <f t="shared" si="46"/>
        <v>0</v>
      </c>
      <c r="AD33">
        <f t="shared" si="47"/>
        <v>0</v>
      </c>
      <c r="AE33">
        <f t="shared" si="48"/>
        <v>0</v>
      </c>
      <c r="AF33">
        <f t="shared" si="49"/>
        <v>0</v>
      </c>
    </row>
    <row r="34" spans="1:32" ht="12.75">
      <c r="A34" s="11" t="s">
        <v>59</v>
      </c>
      <c r="B34" s="11" t="s">
        <v>101</v>
      </c>
      <c r="C34" s="11" t="s">
        <v>51</v>
      </c>
      <c r="D34" s="11" t="s">
        <v>32</v>
      </c>
      <c r="E34" s="13">
        <v>40</v>
      </c>
      <c r="F34" s="12">
        <v>18130</v>
      </c>
      <c r="G34" s="14">
        <f t="shared" si="0"/>
        <v>850</v>
      </c>
      <c r="H34" s="2">
        <f t="shared" si="1"/>
        <v>1093</v>
      </c>
      <c r="I34">
        <f t="shared" si="26"/>
        <v>0</v>
      </c>
      <c r="J34">
        <f t="shared" si="27"/>
        <v>0</v>
      </c>
      <c r="K34">
        <f t="shared" si="28"/>
        <v>0</v>
      </c>
      <c r="L34">
        <f t="shared" si="29"/>
        <v>850</v>
      </c>
      <c r="M34">
        <f t="shared" si="30"/>
        <v>0</v>
      </c>
      <c r="N34">
        <f t="shared" si="31"/>
        <v>0</v>
      </c>
      <c r="O34">
        <f t="shared" si="32"/>
        <v>0</v>
      </c>
      <c r="P34">
        <f t="shared" si="33"/>
        <v>0</v>
      </c>
      <c r="Q34">
        <f t="shared" si="34"/>
        <v>0</v>
      </c>
      <c r="R34">
        <f t="shared" si="35"/>
        <v>0</v>
      </c>
      <c r="S34">
        <f t="shared" si="36"/>
        <v>0</v>
      </c>
      <c r="T34">
        <f t="shared" si="37"/>
        <v>0</v>
      </c>
      <c r="U34">
        <f t="shared" si="38"/>
        <v>0</v>
      </c>
      <c r="V34">
        <f t="shared" si="39"/>
        <v>0</v>
      </c>
      <c r="W34">
        <f t="shared" si="40"/>
        <v>0</v>
      </c>
      <c r="X34">
        <f t="shared" si="41"/>
        <v>0</v>
      </c>
      <c r="Y34">
        <f t="shared" si="42"/>
        <v>0</v>
      </c>
      <c r="Z34">
        <f t="shared" si="43"/>
        <v>0</v>
      </c>
      <c r="AA34">
        <f t="shared" si="44"/>
        <v>0</v>
      </c>
      <c r="AB34">
        <f t="shared" si="45"/>
        <v>0</v>
      </c>
      <c r="AC34">
        <f t="shared" si="46"/>
        <v>0</v>
      </c>
      <c r="AD34">
        <f t="shared" si="47"/>
        <v>0</v>
      </c>
      <c r="AE34">
        <f t="shared" si="48"/>
        <v>0</v>
      </c>
      <c r="AF34">
        <f t="shared" si="49"/>
        <v>0</v>
      </c>
    </row>
    <row r="35" spans="1:32" ht="12.75">
      <c r="A35" s="11" t="s">
        <v>69</v>
      </c>
      <c r="B35" s="11" t="s">
        <v>102</v>
      </c>
      <c r="C35" s="11" t="s">
        <v>51</v>
      </c>
      <c r="D35" s="11" t="s">
        <v>32</v>
      </c>
      <c r="E35" s="13">
        <v>45</v>
      </c>
      <c r="F35" s="12">
        <v>20454</v>
      </c>
      <c r="G35" s="14">
        <f t="shared" si="0"/>
        <v>769</v>
      </c>
      <c r="H35" s="2">
        <f t="shared" si="1"/>
        <v>1245.4</v>
      </c>
      <c r="I35">
        <f t="shared" si="26"/>
        <v>0</v>
      </c>
      <c r="J35">
        <f t="shared" si="27"/>
        <v>0</v>
      </c>
      <c r="K35">
        <f t="shared" si="28"/>
        <v>0</v>
      </c>
      <c r="L35">
        <f t="shared" si="29"/>
        <v>0</v>
      </c>
      <c r="M35">
        <f t="shared" si="30"/>
        <v>769</v>
      </c>
      <c r="N35">
        <f t="shared" si="31"/>
        <v>0</v>
      </c>
      <c r="O35">
        <f t="shared" si="32"/>
        <v>0</v>
      </c>
      <c r="P35">
        <f t="shared" si="33"/>
        <v>0</v>
      </c>
      <c r="Q35">
        <f t="shared" si="34"/>
        <v>0</v>
      </c>
      <c r="R35">
        <f t="shared" si="35"/>
        <v>0</v>
      </c>
      <c r="S35">
        <f t="shared" si="36"/>
        <v>0</v>
      </c>
      <c r="T35">
        <f t="shared" si="37"/>
        <v>0</v>
      </c>
      <c r="U35">
        <f t="shared" si="38"/>
        <v>0</v>
      </c>
      <c r="V35">
        <f t="shared" si="39"/>
        <v>0</v>
      </c>
      <c r="W35">
        <f t="shared" si="40"/>
        <v>0</v>
      </c>
      <c r="X35">
        <f t="shared" si="41"/>
        <v>0</v>
      </c>
      <c r="Y35">
        <f t="shared" si="42"/>
        <v>0</v>
      </c>
      <c r="Z35">
        <f t="shared" si="43"/>
        <v>0</v>
      </c>
      <c r="AA35">
        <f t="shared" si="44"/>
        <v>0</v>
      </c>
      <c r="AB35">
        <f t="shared" si="45"/>
        <v>0</v>
      </c>
      <c r="AC35">
        <f t="shared" si="46"/>
        <v>0</v>
      </c>
      <c r="AD35">
        <f t="shared" si="47"/>
        <v>0</v>
      </c>
      <c r="AE35">
        <f t="shared" si="48"/>
        <v>0</v>
      </c>
      <c r="AF35">
        <f t="shared" si="49"/>
        <v>0</v>
      </c>
    </row>
    <row r="36" spans="1:33" ht="12.75">
      <c r="A36" s="11" t="s">
        <v>76</v>
      </c>
      <c r="B36" s="11" t="s">
        <v>104</v>
      </c>
      <c r="C36" s="11" t="s">
        <v>51</v>
      </c>
      <c r="D36" s="11" t="s">
        <v>32</v>
      </c>
      <c r="E36" s="13">
        <v>50</v>
      </c>
      <c r="F36" s="12">
        <v>22516</v>
      </c>
      <c r="G36" s="14">
        <f t="shared" si="0"/>
        <v>721</v>
      </c>
      <c r="H36" s="2">
        <f t="shared" si="1"/>
        <v>1371.6</v>
      </c>
      <c r="I36">
        <f t="shared" si="26"/>
        <v>0</v>
      </c>
      <c r="J36">
        <f t="shared" si="27"/>
        <v>0</v>
      </c>
      <c r="K36">
        <f t="shared" si="28"/>
        <v>0</v>
      </c>
      <c r="L36">
        <f t="shared" si="29"/>
        <v>0</v>
      </c>
      <c r="M36">
        <f t="shared" si="30"/>
        <v>0</v>
      </c>
      <c r="N36">
        <f t="shared" si="31"/>
        <v>721</v>
      </c>
      <c r="O36">
        <f t="shared" si="32"/>
        <v>0</v>
      </c>
      <c r="P36">
        <f t="shared" si="33"/>
        <v>0</v>
      </c>
      <c r="Q36">
        <f t="shared" si="34"/>
        <v>0</v>
      </c>
      <c r="R36">
        <f t="shared" si="35"/>
        <v>0</v>
      </c>
      <c r="S36">
        <f t="shared" si="36"/>
        <v>0</v>
      </c>
      <c r="T36">
        <f t="shared" si="37"/>
        <v>0</v>
      </c>
      <c r="U36">
        <f t="shared" si="38"/>
        <v>0</v>
      </c>
      <c r="V36">
        <f t="shared" si="39"/>
        <v>0</v>
      </c>
      <c r="W36">
        <f t="shared" si="40"/>
        <v>0</v>
      </c>
      <c r="X36">
        <f t="shared" si="41"/>
        <v>0</v>
      </c>
      <c r="Y36">
        <f t="shared" si="42"/>
        <v>0</v>
      </c>
      <c r="Z36">
        <f t="shared" si="43"/>
        <v>0</v>
      </c>
      <c r="AA36">
        <f t="shared" si="44"/>
        <v>0</v>
      </c>
      <c r="AB36">
        <f t="shared" si="45"/>
        <v>0</v>
      </c>
      <c r="AC36">
        <f t="shared" si="46"/>
        <v>0</v>
      </c>
      <c r="AD36">
        <f t="shared" si="47"/>
        <v>0</v>
      </c>
      <c r="AE36">
        <f t="shared" si="48"/>
        <v>0</v>
      </c>
      <c r="AF36">
        <f t="shared" si="49"/>
        <v>0</v>
      </c>
      <c r="AG36" s="21">
        <f>SUM(G33:G36)</f>
        <v>3248</v>
      </c>
    </row>
    <row r="37" spans="1:32" ht="12.75">
      <c r="A37" s="11" t="s">
        <v>83</v>
      </c>
      <c r="B37" s="11" t="s">
        <v>103</v>
      </c>
      <c r="C37" s="11" t="s">
        <v>51</v>
      </c>
      <c r="D37" s="11" t="s">
        <v>32</v>
      </c>
      <c r="E37" s="13">
        <v>50</v>
      </c>
      <c r="F37" s="12">
        <v>24235</v>
      </c>
      <c r="G37" s="14">
        <f t="shared" si="0"/>
        <v>675</v>
      </c>
      <c r="H37" s="2">
        <f t="shared" si="1"/>
        <v>1463.5</v>
      </c>
      <c r="I37">
        <f t="shared" si="26"/>
        <v>0</v>
      </c>
      <c r="J37">
        <f t="shared" si="27"/>
        <v>0</v>
      </c>
      <c r="K37">
        <f t="shared" si="28"/>
        <v>0</v>
      </c>
      <c r="L37">
        <f t="shared" si="29"/>
        <v>0</v>
      </c>
      <c r="M37">
        <f t="shared" si="30"/>
        <v>0</v>
      </c>
      <c r="N37">
        <f t="shared" si="31"/>
        <v>675</v>
      </c>
      <c r="O37">
        <f t="shared" si="32"/>
        <v>0</v>
      </c>
      <c r="P37">
        <f t="shared" si="33"/>
        <v>0</v>
      </c>
      <c r="Q37">
        <f t="shared" si="34"/>
        <v>0</v>
      </c>
      <c r="R37">
        <f t="shared" si="35"/>
        <v>0</v>
      </c>
      <c r="S37">
        <f t="shared" si="36"/>
        <v>0</v>
      </c>
      <c r="T37">
        <f t="shared" si="37"/>
        <v>0</v>
      </c>
      <c r="U37">
        <f t="shared" si="38"/>
        <v>0</v>
      </c>
      <c r="V37">
        <f t="shared" si="39"/>
        <v>0</v>
      </c>
      <c r="W37">
        <f t="shared" si="40"/>
        <v>0</v>
      </c>
      <c r="X37">
        <f t="shared" si="41"/>
        <v>0</v>
      </c>
      <c r="Y37">
        <f t="shared" si="42"/>
        <v>0</v>
      </c>
      <c r="Z37">
        <f t="shared" si="43"/>
        <v>0</v>
      </c>
      <c r="AA37">
        <f t="shared" si="44"/>
        <v>0</v>
      </c>
      <c r="AB37">
        <f t="shared" si="45"/>
        <v>0</v>
      </c>
      <c r="AC37">
        <f t="shared" si="46"/>
        <v>0</v>
      </c>
      <c r="AD37">
        <f t="shared" si="47"/>
        <v>0</v>
      </c>
      <c r="AE37">
        <f t="shared" si="48"/>
        <v>0</v>
      </c>
      <c r="AF37">
        <f t="shared" si="49"/>
        <v>0</v>
      </c>
    </row>
    <row r="38" spans="1:32" ht="12.75">
      <c r="A38" s="11" t="s">
        <v>77</v>
      </c>
      <c r="B38" s="11" t="s">
        <v>149</v>
      </c>
      <c r="C38" s="11" t="s">
        <v>51</v>
      </c>
      <c r="D38" s="11" t="s">
        <v>32</v>
      </c>
      <c r="E38" s="13">
        <v>25</v>
      </c>
      <c r="F38" s="12">
        <v>22541</v>
      </c>
      <c r="G38" s="14">
        <f t="shared" si="0"/>
        <v>651</v>
      </c>
      <c r="H38" s="2">
        <f>SUM((INT(F38/1000)*60)+(F38-((INT(F38/1000)*1000)))/10)</f>
        <v>1374.1</v>
      </c>
      <c r="I38">
        <f t="shared" si="26"/>
        <v>651</v>
      </c>
      <c r="J38">
        <f t="shared" si="27"/>
        <v>0</v>
      </c>
      <c r="K38">
        <f t="shared" si="28"/>
        <v>0</v>
      </c>
      <c r="L38">
        <f t="shared" si="29"/>
        <v>0</v>
      </c>
      <c r="M38">
        <f t="shared" si="30"/>
        <v>0</v>
      </c>
      <c r="N38">
        <f t="shared" si="31"/>
        <v>0</v>
      </c>
      <c r="O38">
        <f t="shared" si="32"/>
        <v>0</v>
      </c>
      <c r="P38">
        <f t="shared" si="33"/>
        <v>0</v>
      </c>
      <c r="Q38">
        <f t="shared" si="34"/>
        <v>0</v>
      </c>
      <c r="R38">
        <f t="shared" si="35"/>
        <v>0</v>
      </c>
      <c r="S38">
        <f t="shared" si="36"/>
        <v>0</v>
      </c>
      <c r="T38">
        <f t="shared" si="37"/>
        <v>0</v>
      </c>
      <c r="U38">
        <f t="shared" si="38"/>
        <v>0</v>
      </c>
      <c r="V38">
        <f t="shared" si="39"/>
        <v>0</v>
      </c>
      <c r="W38">
        <f t="shared" si="40"/>
        <v>0</v>
      </c>
      <c r="X38">
        <f t="shared" si="41"/>
        <v>0</v>
      </c>
      <c r="Y38">
        <f t="shared" si="42"/>
        <v>0</v>
      </c>
      <c r="Z38">
        <f t="shared" si="43"/>
        <v>0</v>
      </c>
      <c r="AA38">
        <f t="shared" si="44"/>
        <v>0</v>
      </c>
      <c r="AB38">
        <f t="shared" si="45"/>
        <v>0</v>
      </c>
      <c r="AC38">
        <f t="shared" si="46"/>
        <v>0</v>
      </c>
      <c r="AD38">
        <f t="shared" si="47"/>
        <v>0</v>
      </c>
      <c r="AE38">
        <f t="shared" si="48"/>
        <v>0</v>
      </c>
      <c r="AF38">
        <f t="shared" si="49"/>
        <v>0</v>
      </c>
    </row>
    <row r="39" spans="7:8" ht="12.75">
      <c r="G39" s="14"/>
      <c r="H39" s="2"/>
    </row>
    <row r="40" spans="7:8" ht="12.75">
      <c r="G40" s="14"/>
      <c r="H40" s="2"/>
    </row>
    <row r="41" spans="7:8" ht="12.75">
      <c r="G41" s="14"/>
      <c r="H41" s="2"/>
    </row>
    <row r="42" spans="7:8" ht="12.75">
      <c r="G42" s="14"/>
      <c r="H42" s="2"/>
    </row>
    <row r="43" spans="7:8" ht="12.75">
      <c r="G43" s="14"/>
      <c r="H43" s="2"/>
    </row>
    <row r="44" spans="7:8" ht="12.75">
      <c r="G44" s="14"/>
      <c r="H44" s="2"/>
    </row>
    <row r="45" spans="7:8" ht="12.75">
      <c r="G45" s="14"/>
      <c r="H45" s="2"/>
    </row>
    <row r="46" spans="7:8" ht="12.75">
      <c r="G46" s="14"/>
      <c r="H46" s="2"/>
    </row>
    <row r="47" spans="7:8" ht="12.75">
      <c r="G47" s="14"/>
      <c r="H47" s="2"/>
    </row>
    <row r="48" spans="7:8" ht="12.75">
      <c r="G48" s="14"/>
      <c r="H48" s="2"/>
    </row>
    <row r="49" spans="7:8" ht="12.75">
      <c r="G49" s="14"/>
      <c r="H49" s="2"/>
    </row>
    <row r="50" spans="7:8" ht="12.75">
      <c r="G50" s="14"/>
      <c r="H50" s="2"/>
    </row>
    <row r="51" spans="7:8" ht="12.75">
      <c r="G51" s="14"/>
      <c r="H51" s="2"/>
    </row>
    <row r="52" spans="7:8" ht="12.75">
      <c r="G52" s="14"/>
      <c r="H52" s="2"/>
    </row>
    <row r="53" spans="7:8" ht="12.75">
      <c r="G53" s="14"/>
      <c r="H53" s="2"/>
    </row>
    <row r="54" spans="7:8" ht="12.75">
      <c r="G54" s="14"/>
      <c r="H54" s="2"/>
    </row>
    <row r="55" spans="7:8" ht="12.75">
      <c r="G55" s="14"/>
      <c r="H55" s="2"/>
    </row>
    <row r="56" spans="7:8" ht="12.75">
      <c r="G56" s="14"/>
      <c r="H56" s="2"/>
    </row>
    <row r="57" spans="7:8" ht="12.75">
      <c r="G57" s="14"/>
      <c r="H57" s="2"/>
    </row>
    <row r="58" spans="7:8" ht="12.75">
      <c r="G58" s="14"/>
      <c r="H58" s="2"/>
    </row>
    <row r="59" spans="7:8" ht="12.75">
      <c r="G59" s="14"/>
      <c r="H59" s="2"/>
    </row>
    <row r="60" spans="7:8" ht="12.75">
      <c r="G60" s="14"/>
      <c r="H60" s="2"/>
    </row>
    <row r="61" spans="7:8" ht="12.75">
      <c r="G61" s="14"/>
      <c r="H61" s="2"/>
    </row>
    <row r="62" spans="7:8" ht="12.75">
      <c r="G62" s="14"/>
      <c r="H62" s="2"/>
    </row>
    <row r="63" spans="7:8" ht="12.75">
      <c r="G63" s="14"/>
      <c r="H63" s="2"/>
    </row>
    <row r="64" spans="7:8" ht="12.75">
      <c r="G64" s="14"/>
      <c r="H64" s="2"/>
    </row>
    <row r="65" spans="7:8" ht="12.75">
      <c r="G65" s="14"/>
      <c r="H65" s="2"/>
    </row>
    <row r="66" spans="7:8" ht="12.75">
      <c r="G66" s="14"/>
      <c r="H66" s="2"/>
    </row>
    <row r="67" spans="7:8" ht="12.75">
      <c r="G67" s="14"/>
      <c r="H67" s="2"/>
    </row>
    <row r="68" spans="7:8" ht="12.75">
      <c r="G68" s="14"/>
      <c r="H68" s="2"/>
    </row>
    <row r="69" spans="7:8" ht="12.75">
      <c r="G69" s="14"/>
      <c r="H69" s="2"/>
    </row>
    <row r="70" spans="7:8" ht="12.75">
      <c r="G70" s="14"/>
      <c r="H70" s="2"/>
    </row>
    <row r="71" spans="7:8" ht="12.75">
      <c r="G71" s="14"/>
      <c r="H71" s="2"/>
    </row>
    <row r="72" spans="7:8" ht="12.75">
      <c r="G72" s="14"/>
      <c r="H72" s="2"/>
    </row>
    <row r="73" spans="7:8" ht="12.75">
      <c r="G73" s="14"/>
      <c r="H73" s="2"/>
    </row>
    <row r="74" spans="7:8" ht="12.75">
      <c r="G74" s="14"/>
      <c r="H74" s="2"/>
    </row>
    <row r="75" spans="7:8" ht="12.75">
      <c r="G75" s="14"/>
      <c r="H75" s="2"/>
    </row>
    <row r="76" spans="7:8" ht="12.75">
      <c r="G76" s="14"/>
      <c r="H76" s="2"/>
    </row>
    <row r="77" spans="7:8" ht="12.75">
      <c r="G77" s="14"/>
      <c r="H77" s="2"/>
    </row>
    <row r="78" spans="7:8" ht="12.75">
      <c r="G78" s="14"/>
      <c r="H78" s="2"/>
    </row>
    <row r="79" spans="7:8" ht="12.75">
      <c r="G79" s="14"/>
      <c r="H79" s="2"/>
    </row>
    <row r="80" spans="7:8" ht="12.75">
      <c r="G80" s="14"/>
      <c r="H80" s="2"/>
    </row>
    <row r="81" spans="7:8" ht="12.75">
      <c r="G81" s="14"/>
      <c r="H81" s="2"/>
    </row>
    <row r="82" spans="7:8" ht="12.75">
      <c r="G82" s="14"/>
      <c r="H82" s="2"/>
    </row>
    <row r="83" spans="7:8" ht="12.75">
      <c r="G83" s="14"/>
      <c r="H83" s="2"/>
    </row>
    <row r="84" spans="7:8" ht="12.75">
      <c r="G84" s="14"/>
      <c r="H84" s="2"/>
    </row>
    <row r="85" spans="7:8" ht="12.75">
      <c r="G85" s="14"/>
      <c r="H8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Lawson</dc:creator>
  <cp:keywords/>
  <dc:description/>
  <cp:lastModifiedBy>Mal Murphy</cp:lastModifiedBy>
  <cp:lastPrinted>2004-06-17T16:23:33Z</cp:lastPrinted>
  <dcterms:created xsi:type="dcterms:W3CDTF">2004-06-15T19:23:12Z</dcterms:created>
  <dcterms:modified xsi:type="dcterms:W3CDTF">2009-10-15T16:32:29Z</dcterms:modified>
  <cp:category/>
  <cp:version/>
  <cp:contentType/>
  <cp:contentStatus/>
</cp:coreProperties>
</file>